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worksheets/sheet9.xml" ContentType="application/vnd.openxmlformats-officedocument.spreadsheetml.worksheet+xml"/>
  <Override PartName="/xl/worksheets/sheet10.xml" ContentType="application/vnd.openxmlformats-officedocument.spreadsheetml.worksheet+xml"/>
  <Override PartName="/xl/chartsheets/sheet2.xml" ContentType="application/vnd.openxmlformats-officedocument.spreadsheetml.chart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hartsheets/sheet3.xml" ContentType="application/vnd.openxmlformats-officedocument.spreadsheetml.chart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37365" windowHeight="21840" tabRatio="500"/>
  </bookViews>
  <sheets>
    <sheet name="README" sheetId="24" r:id="rId1"/>
    <sheet name="ParametersTax" sheetId="7" r:id="rId2"/>
    <sheet name="ParametersOther" sheetId="3" r:id="rId3"/>
    <sheet name="Table1" sheetId="18" r:id="rId4"/>
    <sheet name="Table2" sheetId="19" r:id="rId5"/>
    <sheet name="AggStats" sheetId="16" r:id="rId6"/>
    <sheet name="FemaleStats" sheetId="17" r:id="rId7"/>
    <sheet name="Table7" sheetId="23" r:id="rId8"/>
    <sheet name="ChartCriticalh" sheetId="21" r:id="rId9"/>
    <sheet name="criticalhours" sheetId="20" r:id="rId10"/>
    <sheet name="HoursCDFs" sheetId="14" r:id="rId11"/>
    <sheet name="Charthourshist" sheetId="6" r:id="rId12"/>
    <sheet name="hours (1)" sheetId="1" r:id="rId13"/>
    <sheet name="Sectors (1)" sheetId="2" r:id="rId14"/>
    <sheet name="hours (2)" sheetId="8" r:id="rId15"/>
    <sheet name="Sectors (2)" sheetId="9" r:id="rId16"/>
    <sheet name="hours (3)" sheetId="10" r:id="rId17"/>
    <sheet name="Sectors (3)" sheetId="11" r:id="rId18"/>
    <sheet name="hours (4)" sheetId="12" r:id="rId19"/>
    <sheet name="Sectors (4)" sheetId="13" r:id="rId20"/>
    <sheet name="hrsbygroup" sheetId="22" r:id="rId21"/>
    <sheet name="textbackup" sheetId="25" r:id="rId22"/>
  </sheets>
  <definedNames>
    <definedName name="solver_adj" localSheetId="1" hidden="1">ParametersTax!$B$24:$B$27,ParametersTax!$B$30:$B$33</definedName>
    <definedName name="solver_adj" localSheetId="13" hidden="1">'Sectors (1)'!$F$4</definedName>
    <definedName name="solver_adj" localSheetId="15" hidden="1">'Sectors (2)'!$F$4</definedName>
    <definedName name="solver_adj" localSheetId="17" hidden="1">'Sectors (3)'!$F$4</definedName>
    <definedName name="solver_adj" localSheetId="19" hidden="1">'Sectors (4)'!$F$4</definedName>
    <definedName name="solver_cvg" localSheetId="1" hidden="1">0.0001</definedName>
    <definedName name="solver_cvg" localSheetId="13" hidden="1">0.000001</definedName>
    <definedName name="solver_cvg" localSheetId="15" hidden="1">0.000001</definedName>
    <definedName name="solver_cvg" localSheetId="17" hidden="1">0.000001</definedName>
    <definedName name="solver_cvg" localSheetId="19" hidden="1">0.000001</definedName>
    <definedName name="solver_drv" localSheetId="1" hidden="1">1</definedName>
    <definedName name="solver_drv" localSheetId="13" hidden="1">1</definedName>
    <definedName name="solver_drv" localSheetId="15" hidden="1">1</definedName>
    <definedName name="solver_drv" localSheetId="17" hidden="1">1</definedName>
    <definedName name="solver_drv" localSheetId="19" hidden="1">1</definedName>
    <definedName name="solver_eng" localSheetId="1" hidden="1">1</definedName>
    <definedName name="solver_eng" localSheetId="13" hidden="1">1</definedName>
    <definedName name="solver_eng" localSheetId="15" hidden="1">1</definedName>
    <definedName name="solver_eng" localSheetId="17" hidden="1">1</definedName>
    <definedName name="solver_eng" localSheetId="19" hidden="1">1</definedName>
    <definedName name="solver_est" localSheetId="1" hidden="1">1</definedName>
    <definedName name="solver_est" localSheetId="13" hidden="1">1</definedName>
    <definedName name="solver_est" localSheetId="15" hidden="1">1</definedName>
    <definedName name="solver_est" localSheetId="17" hidden="1">1</definedName>
    <definedName name="solver_est" localSheetId="19" hidden="1">1</definedName>
    <definedName name="solver_itr" localSheetId="1" hidden="1">2147483647</definedName>
    <definedName name="solver_itr" localSheetId="13" hidden="1">2147483647</definedName>
    <definedName name="solver_itr" localSheetId="15" hidden="1">2147483647</definedName>
    <definedName name="solver_itr" localSheetId="17" hidden="1">2147483647</definedName>
    <definedName name="solver_itr" localSheetId="19" hidden="1">2147483647</definedName>
    <definedName name="solver_lhs1" localSheetId="13" hidden="1">'Sectors (1)'!$F$4</definedName>
    <definedName name="solver_lhs1" localSheetId="15" hidden="1">'Sectors (2)'!$F$4</definedName>
    <definedName name="solver_lhs1" localSheetId="17" hidden="1">'Sectors (3)'!$F$4</definedName>
    <definedName name="solver_lhs1" localSheetId="19" hidden="1">'Sectors (4)'!$F$4</definedName>
    <definedName name="solver_lhs2" localSheetId="13" hidden="1">'Sectors (1)'!$F$5</definedName>
    <definedName name="solver_lhs2" localSheetId="15" hidden="1">'Sectors (2)'!$F$5</definedName>
    <definedName name="solver_lhs2" localSheetId="17" hidden="1">'Sectors (3)'!$F$5</definedName>
    <definedName name="solver_lhs2" localSheetId="19" hidden="1">'Sectors (4)'!$F$5</definedName>
    <definedName name="solver_lin" localSheetId="1" hidden="1">2</definedName>
    <definedName name="solver_lin" localSheetId="13" hidden="1">2</definedName>
    <definedName name="solver_lin" localSheetId="15" hidden="1">2</definedName>
    <definedName name="solver_lin" localSheetId="17" hidden="1">2</definedName>
    <definedName name="solver_lin" localSheetId="19" hidden="1">2</definedName>
    <definedName name="solver_mip" localSheetId="1" hidden="1">2147483647</definedName>
    <definedName name="solver_mip" localSheetId="13" hidden="1">2147483647</definedName>
    <definedName name="solver_mip" localSheetId="15" hidden="1">2147483647</definedName>
    <definedName name="solver_mip" localSheetId="17" hidden="1">2147483647</definedName>
    <definedName name="solver_mip" localSheetId="19" hidden="1">2147483647</definedName>
    <definedName name="solver_mni" localSheetId="1" hidden="1">30</definedName>
    <definedName name="solver_mni" localSheetId="13" hidden="1">30</definedName>
    <definedName name="solver_mni" localSheetId="15" hidden="1">30</definedName>
    <definedName name="solver_mni" localSheetId="17" hidden="1">30</definedName>
    <definedName name="solver_mni" localSheetId="19" hidden="1">30</definedName>
    <definedName name="solver_mrt" localSheetId="1" hidden="1">0.075</definedName>
    <definedName name="solver_mrt" localSheetId="13" hidden="1">0.075</definedName>
    <definedName name="solver_mrt" localSheetId="15" hidden="1">0.075</definedName>
    <definedName name="solver_mrt" localSheetId="17" hidden="1">0.075</definedName>
    <definedName name="solver_mrt" localSheetId="19" hidden="1">0.075</definedName>
    <definedName name="solver_msl" localSheetId="1" hidden="1">2</definedName>
    <definedName name="solver_msl" localSheetId="13" hidden="1">2</definedName>
    <definedName name="solver_msl" localSheetId="15" hidden="1">2</definedName>
    <definedName name="solver_msl" localSheetId="17" hidden="1">2</definedName>
    <definedName name="solver_msl" localSheetId="19" hidden="1">2</definedName>
    <definedName name="solver_neg" localSheetId="1" hidden="1">1</definedName>
    <definedName name="solver_neg" localSheetId="13" hidden="1">1</definedName>
    <definedName name="solver_neg" localSheetId="15" hidden="1">1</definedName>
    <definedName name="solver_neg" localSheetId="17" hidden="1">1</definedName>
    <definedName name="solver_neg" localSheetId="19" hidden="1">1</definedName>
    <definedName name="solver_nod" localSheetId="1" hidden="1">2147483647</definedName>
    <definedName name="solver_nod" localSheetId="13" hidden="1">2147483647</definedName>
    <definedName name="solver_nod" localSheetId="15" hidden="1">2147483647</definedName>
    <definedName name="solver_nod" localSheetId="17" hidden="1">2147483647</definedName>
    <definedName name="solver_nod" localSheetId="19" hidden="1">2147483647</definedName>
    <definedName name="solver_num" localSheetId="1" hidden="1">0</definedName>
    <definedName name="solver_num" localSheetId="13" hidden="1">0</definedName>
    <definedName name="solver_num" localSheetId="15" hidden="1">0</definedName>
    <definedName name="solver_num" localSheetId="17" hidden="1">0</definedName>
    <definedName name="solver_num" localSheetId="19" hidden="1">0</definedName>
    <definedName name="solver_nwt" localSheetId="1" hidden="1">1</definedName>
    <definedName name="solver_nwt" localSheetId="13" hidden="1">1</definedName>
    <definedName name="solver_nwt" localSheetId="15" hidden="1">1</definedName>
    <definedName name="solver_nwt" localSheetId="17" hidden="1">1</definedName>
    <definedName name="solver_nwt" localSheetId="19" hidden="1">1</definedName>
    <definedName name="solver_opt" localSheetId="1" hidden="1">ParametersTax!$D$34</definedName>
    <definedName name="solver_opt" localSheetId="13" hidden="1">'Sectors (1)'!$H$4</definedName>
    <definedName name="solver_opt" localSheetId="15" hidden="1">'Sectors (2)'!$H$4</definedName>
    <definedName name="solver_opt" localSheetId="17" hidden="1">'Sectors (3)'!$H$4</definedName>
    <definedName name="solver_opt" localSheetId="19" hidden="1">'Sectors (4)'!$H$4</definedName>
    <definedName name="solver_pre" localSheetId="1" hidden="1">0.000001</definedName>
    <definedName name="solver_pre" localSheetId="13" hidden="1">0.000001</definedName>
    <definedName name="solver_pre" localSheetId="15" hidden="1">0.000001</definedName>
    <definedName name="solver_pre" localSheetId="17" hidden="1">0.000001</definedName>
    <definedName name="solver_pre" localSheetId="19" hidden="1">0.000001</definedName>
    <definedName name="solver_rbv" localSheetId="1" hidden="1">1</definedName>
    <definedName name="solver_rbv" localSheetId="13" hidden="1">1</definedName>
    <definedName name="solver_rbv" localSheetId="15" hidden="1">1</definedName>
    <definedName name="solver_rbv" localSheetId="17" hidden="1">1</definedName>
    <definedName name="solver_rbv" localSheetId="19" hidden="1">1</definedName>
    <definedName name="solver_rel1" localSheetId="13" hidden="1">3</definedName>
    <definedName name="solver_rel1" localSheetId="15" hidden="1">3</definedName>
    <definedName name="solver_rel1" localSheetId="17" hidden="1">3</definedName>
    <definedName name="solver_rel1" localSheetId="19" hidden="1">3</definedName>
    <definedName name="solver_rel2" localSheetId="13" hidden="1">3</definedName>
    <definedName name="solver_rel2" localSheetId="15" hidden="1">3</definedName>
    <definedName name="solver_rel2" localSheetId="17" hidden="1">3</definedName>
    <definedName name="solver_rel2" localSheetId="19" hidden="1">3</definedName>
    <definedName name="solver_rhs1" localSheetId="13" hidden="1">0.01</definedName>
    <definedName name="solver_rhs1" localSheetId="15" hidden="1">0.01</definedName>
    <definedName name="solver_rhs1" localSheetId="17" hidden="1">0.01</definedName>
    <definedName name="solver_rhs1" localSheetId="19" hidden="1">0.01</definedName>
    <definedName name="solver_rhs2" localSheetId="13" hidden="1">0.01</definedName>
    <definedName name="solver_rhs2" localSheetId="15" hidden="1">0.01</definedName>
    <definedName name="solver_rhs2" localSheetId="17" hidden="1">0.01</definedName>
    <definedName name="solver_rhs2" localSheetId="19" hidden="1">0.01</definedName>
    <definedName name="solver_rlx" localSheetId="1" hidden="1">2</definedName>
    <definedName name="solver_rlx" localSheetId="13" hidden="1">2</definedName>
    <definedName name="solver_rlx" localSheetId="15" hidden="1">2</definedName>
    <definedName name="solver_rlx" localSheetId="17" hidden="1">2</definedName>
    <definedName name="solver_rlx" localSheetId="19" hidden="1">2</definedName>
    <definedName name="solver_rsd" localSheetId="1" hidden="1">0</definedName>
    <definedName name="solver_rsd" localSheetId="13" hidden="1">0</definedName>
    <definedName name="solver_rsd" localSheetId="15" hidden="1">0</definedName>
    <definedName name="solver_rsd" localSheetId="17" hidden="1">0</definedName>
    <definedName name="solver_rsd" localSheetId="19" hidden="1">0</definedName>
    <definedName name="solver_scl" localSheetId="1" hidden="1">1</definedName>
    <definedName name="solver_scl" localSheetId="13" hidden="1">1</definedName>
    <definedName name="solver_scl" localSheetId="15" hidden="1">1</definedName>
    <definedName name="solver_scl" localSheetId="17" hidden="1">1</definedName>
    <definedName name="solver_scl" localSheetId="19" hidden="1">1</definedName>
    <definedName name="solver_sho" localSheetId="1" hidden="1">2</definedName>
    <definedName name="solver_sho" localSheetId="13" hidden="1">2</definedName>
    <definedName name="solver_sho" localSheetId="15" hidden="1">2</definedName>
    <definedName name="solver_sho" localSheetId="17" hidden="1">2</definedName>
    <definedName name="solver_sho" localSheetId="19" hidden="1">2</definedName>
    <definedName name="solver_ssz" localSheetId="1" hidden="1">100</definedName>
    <definedName name="solver_ssz" localSheetId="13" hidden="1">100</definedName>
    <definedName name="solver_ssz" localSheetId="15" hidden="1">100</definedName>
    <definedName name="solver_ssz" localSheetId="17" hidden="1">100</definedName>
    <definedName name="solver_ssz" localSheetId="19" hidden="1">100</definedName>
    <definedName name="solver_tim" localSheetId="1" hidden="1">2147483647</definedName>
    <definedName name="solver_tim" localSheetId="13" hidden="1">2147483647</definedName>
    <definedName name="solver_tim" localSheetId="15" hidden="1">2147483647</definedName>
    <definedName name="solver_tim" localSheetId="17" hidden="1">2147483647</definedName>
    <definedName name="solver_tim" localSheetId="19" hidden="1">2147483647</definedName>
    <definedName name="solver_tol" localSheetId="1" hidden="1">0.01</definedName>
    <definedName name="solver_tol" localSheetId="13" hidden="1">0.01</definedName>
    <definedName name="solver_tol" localSheetId="15" hidden="1">0.01</definedName>
    <definedName name="solver_tol" localSheetId="17" hidden="1">0.01</definedName>
    <definedName name="solver_tol" localSheetId="19" hidden="1">0.01</definedName>
    <definedName name="solver_typ" localSheetId="1" hidden="1">2</definedName>
    <definedName name="solver_typ" localSheetId="13" hidden="1">2</definedName>
    <definedName name="solver_typ" localSheetId="15" hidden="1">2</definedName>
    <definedName name="solver_typ" localSheetId="17" hidden="1">2</definedName>
    <definedName name="solver_typ" localSheetId="19" hidden="1">2</definedName>
    <definedName name="solver_val" localSheetId="1" hidden="1">0</definedName>
    <definedName name="solver_val" localSheetId="13" hidden="1">0</definedName>
    <definedName name="solver_val" localSheetId="15" hidden="1">0</definedName>
    <definedName name="solver_val" localSheetId="17" hidden="1">0</definedName>
    <definedName name="solver_val" localSheetId="19" hidden="1">0</definedName>
    <definedName name="solver_ver" localSheetId="1" hidden="1">3</definedName>
    <definedName name="solver_ver" localSheetId="13" hidden="1">2</definedName>
    <definedName name="solver_ver" localSheetId="15" hidden="1">2</definedName>
    <definedName name="solver_ver" localSheetId="17" hidden="1">2</definedName>
    <definedName name="solver_ver" localSheetId="19" hidden="1">2</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A32" i="25" l="1"/>
  <c r="H46" i="7"/>
  <c r="G49" i="7"/>
  <c r="F49" i="7"/>
  <c r="E49" i="7"/>
  <c r="E46" i="7"/>
  <c r="E20" i="7"/>
  <c r="E17" i="7"/>
  <c r="B11" i="7"/>
  <c r="A17" i="25"/>
  <c r="A12" i="25"/>
  <c r="A13" i="25"/>
  <c r="A14" i="25"/>
  <c r="A31" i="25"/>
  <c r="B21" i="3"/>
  <c r="C5" i="18"/>
  <c r="C7" i="18"/>
  <c r="B8" i="7"/>
  <c r="D18" i="7"/>
  <c r="C10" i="18"/>
  <c r="D19" i="7"/>
  <c r="C13" i="18"/>
  <c r="B12" i="7"/>
  <c r="D20" i="7"/>
  <c r="C15" i="18"/>
  <c r="E19" i="7"/>
  <c r="E18" i="7"/>
  <c r="E16" i="7"/>
  <c r="F5" i="18"/>
  <c r="F7" i="18"/>
  <c r="F10" i="18"/>
  <c r="F13" i="18"/>
  <c r="F15" i="18"/>
  <c r="C17" i="18"/>
  <c r="A30" i="25"/>
  <c r="E5" i="18"/>
  <c r="C17" i="7"/>
  <c r="E7" i="18"/>
  <c r="E10" i="18"/>
  <c r="C19" i="7"/>
  <c r="E13" i="18"/>
  <c r="C20" i="7"/>
  <c r="E15" i="18"/>
  <c r="E17" i="18"/>
  <c r="A29" i="25"/>
  <c r="A6" i="25"/>
  <c r="A28" i="25"/>
  <c r="A7" i="25"/>
  <c r="A27" i="25"/>
  <c r="B9" i="1"/>
  <c r="B14" i="3"/>
  <c r="B10" i="1"/>
  <c r="B15" i="3"/>
  <c r="B4" i="3"/>
  <c r="B10" i="19"/>
  <c r="A21" i="25"/>
  <c r="A20" i="25"/>
  <c r="B9" i="19"/>
  <c r="A19" i="25"/>
  <c r="B6" i="2"/>
  <c r="A105" i="1"/>
  <c r="B105" i="1"/>
  <c r="B19" i="3"/>
  <c r="B8" i="3"/>
  <c r="B8" i="2"/>
  <c r="A16" i="25"/>
  <c r="A10" i="25"/>
  <c r="A15" i="25"/>
  <c r="A24" i="17"/>
  <c r="A16" i="17"/>
  <c r="A10" i="17"/>
  <c r="A24" i="16"/>
  <c r="A16" i="16"/>
  <c r="A10" i="16"/>
  <c r="E48" i="7"/>
  <c r="F46" i="7"/>
  <c r="G46" i="7"/>
  <c r="E47" i="7"/>
  <c r="F47" i="7"/>
  <c r="G47" i="7"/>
  <c r="F48" i="7"/>
  <c r="G48" i="7"/>
  <c r="G45" i="7"/>
  <c r="H5" i="23"/>
  <c r="H7" i="23"/>
  <c r="H10" i="23"/>
  <c r="H13" i="23"/>
  <c r="H15" i="23"/>
  <c r="H17" i="23"/>
  <c r="F45" i="7"/>
  <c r="G5" i="23"/>
  <c r="G7" i="23"/>
  <c r="G10" i="23"/>
  <c r="G13" i="23"/>
  <c r="G15" i="23"/>
  <c r="G17" i="23"/>
  <c r="H45" i="7"/>
  <c r="F5" i="23"/>
  <c r="F7" i="23"/>
  <c r="F10" i="23"/>
  <c r="F13" i="23"/>
  <c r="F15" i="23"/>
  <c r="F17" i="23"/>
  <c r="C5" i="23"/>
  <c r="E5" i="23"/>
  <c r="C7" i="23"/>
  <c r="E7" i="23"/>
  <c r="C10" i="23"/>
  <c r="E10" i="23"/>
  <c r="C13" i="23"/>
  <c r="E13" i="23"/>
  <c r="C15" i="23"/>
  <c r="E15" i="23"/>
  <c r="E17" i="23"/>
  <c r="D5" i="23"/>
  <c r="D7" i="23"/>
  <c r="D10" i="23"/>
  <c r="D13" i="23"/>
  <c r="D15" i="23"/>
  <c r="D17" i="23"/>
  <c r="C17" i="23"/>
  <c r="F6" i="19"/>
  <c r="B141" i="20"/>
  <c r="C7" i="20"/>
  <c r="C141" i="20"/>
  <c r="B140" i="20"/>
  <c r="C140" i="20"/>
  <c r="C138" i="20"/>
  <c r="C8" i="20"/>
  <c r="AD11" i="20"/>
  <c r="C5" i="20"/>
  <c r="C4" i="20"/>
  <c r="C6" i="20"/>
  <c r="AD138" i="20"/>
  <c r="AE11" i="20"/>
  <c r="AE138" i="20"/>
  <c r="AF138" i="20"/>
  <c r="AG138" i="20"/>
  <c r="AI138" i="20"/>
  <c r="AH11" i="20"/>
  <c r="AH138" i="20"/>
  <c r="AK138" i="20"/>
  <c r="AJ11" i="20"/>
  <c r="AJ138" i="20"/>
  <c r="AL138" i="20"/>
  <c r="AM138" i="20"/>
  <c r="AO138" i="20"/>
  <c r="AN11" i="20"/>
  <c r="AN138" i="20"/>
  <c r="Q11" i="20"/>
  <c r="Q138" i="20"/>
  <c r="R11" i="20"/>
  <c r="R138" i="20"/>
  <c r="S138" i="20"/>
  <c r="T138" i="20"/>
  <c r="V138" i="20"/>
  <c r="U11" i="20"/>
  <c r="U138" i="20"/>
  <c r="X138" i="20"/>
  <c r="W11" i="20"/>
  <c r="W138" i="20"/>
  <c r="Y138" i="20"/>
  <c r="Z138" i="20"/>
  <c r="AB138" i="20"/>
  <c r="AA11" i="20"/>
  <c r="AA138" i="20"/>
  <c r="D138" i="20"/>
  <c r="E11" i="20"/>
  <c r="E138" i="20"/>
  <c r="F138" i="20"/>
  <c r="G138" i="20"/>
  <c r="I138" i="20"/>
  <c r="H11" i="20"/>
  <c r="H138" i="20"/>
  <c r="K138" i="20"/>
  <c r="J11" i="20"/>
  <c r="J138" i="20"/>
  <c r="L138" i="20"/>
  <c r="M138" i="20"/>
  <c r="O138" i="20"/>
  <c r="N11" i="20"/>
  <c r="N138" i="20"/>
  <c r="C137" i="20"/>
  <c r="AD137" i="20"/>
  <c r="AE137" i="20"/>
  <c r="AF137" i="20"/>
  <c r="AG137" i="20"/>
  <c r="AI137" i="20"/>
  <c r="AH137" i="20"/>
  <c r="AK137" i="20"/>
  <c r="AJ137" i="20"/>
  <c r="AL137" i="20"/>
  <c r="AM137" i="20"/>
  <c r="AO137" i="20"/>
  <c r="AN137" i="20"/>
  <c r="Q137" i="20"/>
  <c r="R137" i="20"/>
  <c r="S137" i="20"/>
  <c r="T137" i="20"/>
  <c r="V137" i="20"/>
  <c r="U137" i="20"/>
  <c r="X137" i="20"/>
  <c r="W137" i="20"/>
  <c r="Y137" i="20"/>
  <c r="Z137" i="20"/>
  <c r="AB137" i="20"/>
  <c r="AA137" i="20"/>
  <c r="D137" i="20"/>
  <c r="E137" i="20"/>
  <c r="F137" i="20"/>
  <c r="G137" i="20"/>
  <c r="I137" i="20"/>
  <c r="H137" i="20"/>
  <c r="K137" i="20"/>
  <c r="J137" i="20"/>
  <c r="L137" i="20"/>
  <c r="M137" i="20"/>
  <c r="O137" i="20"/>
  <c r="N137" i="20"/>
  <c r="C136" i="20"/>
  <c r="AD136" i="20"/>
  <c r="AE136" i="20"/>
  <c r="AF136" i="20"/>
  <c r="AG136" i="20"/>
  <c r="AI136" i="20"/>
  <c r="AH136" i="20"/>
  <c r="AK136" i="20"/>
  <c r="AJ136" i="20"/>
  <c r="AL136" i="20"/>
  <c r="AM136" i="20"/>
  <c r="AO136" i="20"/>
  <c r="AN136" i="20"/>
  <c r="Q136" i="20"/>
  <c r="R136" i="20"/>
  <c r="S136" i="20"/>
  <c r="T136" i="20"/>
  <c r="V136" i="20"/>
  <c r="U136" i="20"/>
  <c r="X136" i="20"/>
  <c r="W136" i="20"/>
  <c r="Y136" i="20"/>
  <c r="Z136" i="20"/>
  <c r="AB136" i="20"/>
  <c r="AA136" i="20"/>
  <c r="D136" i="20"/>
  <c r="E136" i="20"/>
  <c r="F136" i="20"/>
  <c r="G136" i="20"/>
  <c r="I136" i="20"/>
  <c r="H136" i="20"/>
  <c r="K136" i="20"/>
  <c r="J136" i="20"/>
  <c r="L136" i="20"/>
  <c r="M136" i="20"/>
  <c r="O136" i="20"/>
  <c r="N136" i="20"/>
  <c r="C135" i="20"/>
  <c r="AD135" i="20"/>
  <c r="AE135" i="20"/>
  <c r="AF135" i="20"/>
  <c r="AG135" i="20"/>
  <c r="AI135" i="20"/>
  <c r="AH135" i="20"/>
  <c r="AK135" i="20"/>
  <c r="AJ135" i="20"/>
  <c r="AL135" i="20"/>
  <c r="AM135" i="20"/>
  <c r="AO135" i="20"/>
  <c r="AN135" i="20"/>
  <c r="Q135" i="20"/>
  <c r="R135" i="20"/>
  <c r="S135" i="20"/>
  <c r="T135" i="20"/>
  <c r="V135" i="20"/>
  <c r="U135" i="20"/>
  <c r="X135" i="20"/>
  <c r="W135" i="20"/>
  <c r="Y135" i="20"/>
  <c r="Z135" i="20"/>
  <c r="AB135" i="20"/>
  <c r="AA135" i="20"/>
  <c r="D135" i="20"/>
  <c r="E135" i="20"/>
  <c r="F135" i="20"/>
  <c r="G135" i="20"/>
  <c r="I135" i="20"/>
  <c r="H135" i="20"/>
  <c r="K135" i="20"/>
  <c r="J135" i="20"/>
  <c r="L135" i="20"/>
  <c r="M135" i="20"/>
  <c r="O135" i="20"/>
  <c r="N135" i="20"/>
  <c r="C134" i="20"/>
  <c r="AD134" i="20"/>
  <c r="AE134" i="20"/>
  <c r="AF134" i="20"/>
  <c r="AG134" i="20"/>
  <c r="AI134" i="20"/>
  <c r="AH134" i="20"/>
  <c r="AK134" i="20"/>
  <c r="AJ134" i="20"/>
  <c r="AL134" i="20"/>
  <c r="AM134" i="20"/>
  <c r="AO134" i="20"/>
  <c r="AN134" i="20"/>
  <c r="Q134" i="20"/>
  <c r="R134" i="20"/>
  <c r="S134" i="20"/>
  <c r="T134" i="20"/>
  <c r="V134" i="20"/>
  <c r="U134" i="20"/>
  <c r="X134" i="20"/>
  <c r="W134" i="20"/>
  <c r="Y134" i="20"/>
  <c r="Z134" i="20"/>
  <c r="AB134" i="20"/>
  <c r="AA134" i="20"/>
  <c r="D134" i="20"/>
  <c r="E134" i="20"/>
  <c r="F134" i="20"/>
  <c r="G134" i="20"/>
  <c r="I134" i="20"/>
  <c r="H134" i="20"/>
  <c r="K134" i="20"/>
  <c r="J134" i="20"/>
  <c r="L134" i="20"/>
  <c r="M134" i="20"/>
  <c r="O134" i="20"/>
  <c r="N134" i="20"/>
  <c r="C133" i="20"/>
  <c r="AD133" i="20"/>
  <c r="AE133" i="20"/>
  <c r="AF133" i="20"/>
  <c r="AG133" i="20"/>
  <c r="AI133" i="20"/>
  <c r="AH133" i="20"/>
  <c r="AK133" i="20"/>
  <c r="AJ133" i="20"/>
  <c r="AL133" i="20"/>
  <c r="AM133" i="20"/>
  <c r="AO133" i="20"/>
  <c r="AN133" i="20"/>
  <c r="Q133" i="20"/>
  <c r="R133" i="20"/>
  <c r="S133" i="20"/>
  <c r="T133" i="20"/>
  <c r="V133" i="20"/>
  <c r="U133" i="20"/>
  <c r="X133" i="20"/>
  <c r="W133" i="20"/>
  <c r="Y133" i="20"/>
  <c r="Z133" i="20"/>
  <c r="AB133" i="20"/>
  <c r="AA133" i="20"/>
  <c r="D133" i="20"/>
  <c r="E133" i="20"/>
  <c r="F133" i="20"/>
  <c r="G133" i="20"/>
  <c r="I133" i="20"/>
  <c r="H133" i="20"/>
  <c r="K133" i="20"/>
  <c r="J133" i="20"/>
  <c r="L133" i="20"/>
  <c r="M133" i="20"/>
  <c r="O133" i="20"/>
  <c r="N133" i="20"/>
  <c r="C132" i="20"/>
  <c r="AD132" i="20"/>
  <c r="AE132" i="20"/>
  <c r="AF132" i="20"/>
  <c r="AG132" i="20"/>
  <c r="AI132" i="20"/>
  <c r="AH132" i="20"/>
  <c r="AK132" i="20"/>
  <c r="AJ132" i="20"/>
  <c r="AL132" i="20"/>
  <c r="AM132" i="20"/>
  <c r="AO132" i="20"/>
  <c r="AN132" i="20"/>
  <c r="Q132" i="20"/>
  <c r="R132" i="20"/>
  <c r="S132" i="20"/>
  <c r="T132" i="20"/>
  <c r="V132" i="20"/>
  <c r="U132" i="20"/>
  <c r="X132" i="20"/>
  <c r="W132" i="20"/>
  <c r="Y132" i="20"/>
  <c r="Z132" i="20"/>
  <c r="AB132" i="20"/>
  <c r="AA132" i="20"/>
  <c r="D132" i="20"/>
  <c r="E132" i="20"/>
  <c r="F132" i="20"/>
  <c r="G132" i="20"/>
  <c r="I132" i="20"/>
  <c r="H132" i="20"/>
  <c r="K132" i="20"/>
  <c r="J132" i="20"/>
  <c r="L132" i="20"/>
  <c r="M132" i="20"/>
  <c r="O132" i="20"/>
  <c r="N132" i="20"/>
  <c r="C131" i="20"/>
  <c r="AD131" i="20"/>
  <c r="AE131" i="20"/>
  <c r="AF131" i="20"/>
  <c r="AG131" i="20"/>
  <c r="AI131" i="20"/>
  <c r="AH131" i="20"/>
  <c r="AK131" i="20"/>
  <c r="AJ131" i="20"/>
  <c r="AL131" i="20"/>
  <c r="AM131" i="20"/>
  <c r="AO131" i="20"/>
  <c r="AN131" i="20"/>
  <c r="Q131" i="20"/>
  <c r="R131" i="20"/>
  <c r="S131" i="20"/>
  <c r="T131" i="20"/>
  <c r="V131" i="20"/>
  <c r="U131" i="20"/>
  <c r="X131" i="20"/>
  <c r="W131" i="20"/>
  <c r="Y131" i="20"/>
  <c r="Z131" i="20"/>
  <c r="AB131" i="20"/>
  <c r="AA131" i="20"/>
  <c r="D131" i="20"/>
  <c r="E131" i="20"/>
  <c r="F131" i="20"/>
  <c r="G131" i="20"/>
  <c r="I131" i="20"/>
  <c r="H131" i="20"/>
  <c r="K131" i="20"/>
  <c r="J131" i="20"/>
  <c r="L131" i="20"/>
  <c r="M131" i="20"/>
  <c r="O131" i="20"/>
  <c r="N131" i="20"/>
  <c r="C130" i="20"/>
  <c r="AD130" i="20"/>
  <c r="AE130" i="20"/>
  <c r="AF130" i="20"/>
  <c r="AG130" i="20"/>
  <c r="AI130" i="20"/>
  <c r="AH130" i="20"/>
  <c r="AK130" i="20"/>
  <c r="AJ130" i="20"/>
  <c r="AL130" i="20"/>
  <c r="AM130" i="20"/>
  <c r="AO130" i="20"/>
  <c r="AN130" i="20"/>
  <c r="Q130" i="20"/>
  <c r="R130" i="20"/>
  <c r="S130" i="20"/>
  <c r="T130" i="20"/>
  <c r="V130" i="20"/>
  <c r="U130" i="20"/>
  <c r="X130" i="20"/>
  <c r="W130" i="20"/>
  <c r="Y130" i="20"/>
  <c r="Z130" i="20"/>
  <c r="AB130" i="20"/>
  <c r="AA130" i="20"/>
  <c r="D130" i="20"/>
  <c r="E130" i="20"/>
  <c r="F130" i="20"/>
  <c r="G130" i="20"/>
  <c r="I130" i="20"/>
  <c r="H130" i="20"/>
  <c r="K130" i="20"/>
  <c r="J130" i="20"/>
  <c r="L130" i="20"/>
  <c r="M130" i="20"/>
  <c r="O130" i="20"/>
  <c r="N130" i="20"/>
  <c r="C129" i="20"/>
  <c r="AD129" i="20"/>
  <c r="AE129" i="20"/>
  <c r="AF129" i="20"/>
  <c r="AG129" i="20"/>
  <c r="AI129" i="20"/>
  <c r="AH129" i="20"/>
  <c r="AK129" i="20"/>
  <c r="AJ129" i="20"/>
  <c r="AL129" i="20"/>
  <c r="AM129" i="20"/>
  <c r="AO129" i="20"/>
  <c r="AN129" i="20"/>
  <c r="Q129" i="20"/>
  <c r="R129" i="20"/>
  <c r="S129" i="20"/>
  <c r="T129" i="20"/>
  <c r="V129" i="20"/>
  <c r="U129" i="20"/>
  <c r="X129" i="20"/>
  <c r="W129" i="20"/>
  <c r="Y129" i="20"/>
  <c r="Z129" i="20"/>
  <c r="AB129" i="20"/>
  <c r="AA129" i="20"/>
  <c r="D129" i="20"/>
  <c r="E129" i="20"/>
  <c r="F129" i="20"/>
  <c r="G129" i="20"/>
  <c r="I129" i="20"/>
  <c r="H129" i="20"/>
  <c r="K129" i="20"/>
  <c r="J129" i="20"/>
  <c r="L129" i="20"/>
  <c r="M129" i="20"/>
  <c r="O129" i="20"/>
  <c r="N129" i="20"/>
  <c r="C128" i="20"/>
  <c r="AD128" i="20"/>
  <c r="AE128" i="20"/>
  <c r="AF128" i="20"/>
  <c r="AG128" i="20"/>
  <c r="AI128" i="20"/>
  <c r="AH128" i="20"/>
  <c r="AK128" i="20"/>
  <c r="AJ128" i="20"/>
  <c r="AL128" i="20"/>
  <c r="AM128" i="20"/>
  <c r="AO128" i="20"/>
  <c r="AN128" i="20"/>
  <c r="Q128" i="20"/>
  <c r="R128" i="20"/>
  <c r="S128" i="20"/>
  <c r="T128" i="20"/>
  <c r="V128" i="20"/>
  <c r="U128" i="20"/>
  <c r="X128" i="20"/>
  <c r="W128" i="20"/>
  <c r="Y128" i="20"/>
  <c r="Z128" i="20"/>
  <c r="AB128" i="20"/>
  <c r="AA128" i="20"/>
  <c r="D128" i="20"/>
  <c r="E128" i="20"/>
  <c r="F128" i="20"/>
  <c r="G128" i="20"/>
  <c r="I128" i="20"/>
  <c r="H128" i="20"/>
  <c r="K128" i="20"/>
  <c r="J128" i="20"/>
  <c r="L128" i="20"/>
  <c r="M128" i="20"/>
  <c r="O128" i="20"/>
  <c r="N128" i="20"/>
  <c r="C127" i="20"/>
  <c r="AD127" i="20"/>
  <c r="AE127" i="20"/>
  <c r="AF127" i="20"/>
  <c r="AG127" i="20"/>
  <c r="AI127" i="20"/>
  <c r="AH127" i="20"/>
  <c r="AK127" i="20"/>
  <c r="AJ127" i="20"/>
  <c r="AL127" i="20"/>
  <c r="AM127" i="20"/>
  <c r="AO127" i="20"/>
  <c r="AN127" i="20"/>
  <c r="Q127" i="20"/>
  <c r="R127" i="20"/>
  <c r="S127" i="20"/>
  <c r="T127" i="20"/>
  <c r="V127" i="20"/>
  <c r="U127" i="20"/>
  <c r="X127" i="20"/>
  <c r="W127" i="20"/>
  <c r="Y127" i="20"/>
  <c r="Z127" i="20"/>
  <c r="AB127" i="20"/>
  <c r="AA127" i="20"/>
  <c r="D127" i="20"/>
  <c r="E127" i="20"/>
  <c r="F127" i="20"/>
  <c r="G127" i="20"/>
  <c r="I127" i="20"/>
  <c r="H127" i="20"/>
  <c r="K127" i="20"/>
  <c r="J127" i="20"/>
  <c r="L127" i="20"/>
  <c r="M127" i="20"/>
  <c r="O127" i="20"/>
  <c r="N127" i="20"/>
  <c r="C126" i="20"/>
  <c r="AD126" i="20"/>
  <c r="AE126" i="20"/>
  <c r="AF126" i="20"/>
  <c r="AG126" i="20"/>
  <c r="AI126" i="20"/>
  <c r="AH126" i="20"/>
  <c r="AK126" i="20"/>
  <c r="AJ126" i="20"/>
  <c r="AL126" i="20"/>
  <c r="AM126" i="20"/>
  <c r="AO126" i="20"/>
  <c r="AN126" i="20"/>
  <c r="Q126" i="20"/>
  <c r="R126" i="20"/>
  <c r="S126" i="20"/>
  <c r="T126" i="20"/>
  <c r="V126" i="20"/>
  <c r="U126" i="20"/>
  <c r="X126" i="20"/>
  <c r="W126" i="20"/>
  <c r="Y126" i="20"/>
  <c r="Z126" i="20"/>
  <c r="AB126" i="20"/>
  <c r="AA126" i="20"/>
  <c r="D126" i="20"/>
  <c r="E126" i="20"/>
  <c r="F126" i="20"/>
  <c r="G126" i="20"/>
  <c r="I126" i="20"/>
  <c r="H126" i="20"/>
  <c r="K126" i="20"/>
  <c r="J126" i="20"/>
  <c r="L126" i="20"/>
  <c r="M126" i="20"/>
  <c r="O126" i="20"/>
  <c r="N126" i="20"/>
  <c r="C125" i="20"/>
  <c r="AD125" i="20"/>
  <c r="AE125" i="20"/>
  <c r="AF125" i="20"/>
  <c r="AG125" i="20"/>
  <c r="AI125" i="20"/>
  <c r="AH125" i="20"/>
  <c r="AK125" i="20"/>
  <c r="AJ125" i="20"/>
  <c r="AL125" i="20"/>
  <c r="AM125" i="20"/>
  <c r="AO125" i="20"/>
  <c r="AN125" i="20"/>
  <c r="Q125" i="20"/>
  <c r="R125" i="20"/>
  <c r="S125" i="20"/>
  <c r="T125" i="20"/>
  <c r="V125" i="20"/>
  <c r="U125" i="20"/>
  <c r="X125" i="20"/>
  <c r="W125" i="20"/>
  <c r="Y125" i="20"/>
  <c r="Z125" i="20"/>
  <c r="AB125" i="20"/>
  <c r="AA125" i="20"/>
  <c r="D125" i="20"/>
  <c r="E125" i="20"/>
  <c r="F125" i="20"/>
  <c r="G125" i="20"/>
  <c r="I125" i="20"/>
  <c r="H125" i="20"/>
  <c r="K125" i="20"/>
  <c r="J125" i="20"/>
  <c r="L125" i="20"/>
  <c r="M125" i="20"/>
  <c r="O125" i="20"/>
  <c r="N125" i="20"/>
  <c r="C124" i="20"/>
  <c r="AD124" i="20"/>
  <c r="AE124" i="20"/>
  <c r="AF124" i="20"/>
  <c r="AG124" i="20"/>
  <c r="AI124" i="20"/>
  <c r="AH124" i="20"/>
  <c r="AK124" i="20"/>
  <c r="AJ124" i="20"/>
  <c r="AL124" i="20"/>
  <c r="AM124" i="20"/>
  <c r="AO124" i="20"/>
  <c r="AN124" i="20"/>
  <c r="Q124" i="20"/>
  <c r="R124" i="20"/>
  <c r="S124" i="20"/>
  <c r="T124" i="20"/>
  <c r="V124" i="20"/>
  <c r="U124" i="20"/>
  <c r="X124" i="20"/>
  <c r="W124" i="20"/>
  <c r="Y124" i="20"/>
  <c r="Z124" i="20"/>
  <c r="AB124" i="20"/>
  <c r="AA124" i="20"/>
  <c r="D124" i="20"/>
  <c r="E124" i="20"/>
  <c r="F124" i="20"/>
  <c r="G124" i="20"/>
  <c r="I124" i="20"/>
  <c r="H124" i="20"/>
  <c r="K124" i="20"/>
  <c r="J124" i="20"/>
  <c r="L124" i="20"/>
  <c r="M124" i="20"/>
  <c r="O124" i="20"/>
  <c r="N124" i="20"/>
  <c r="C123" i="20"/>
  <c r="AD123" i="20"/>
  <c r="AE123" i="20"/>
  <c r="AF123" i="20"/>
  <c r="AG123" i="20"/>
  <c r="AI123" i="20"/>
  <c r="AH123" i="20"/>
  <c r="AK123" i="20"/>
  <c r="AJ123" i="20"/>
  <c r="AL123" i="20"/>
  <c r="AM123" i="20"/>
  <c r="AO123" i="20"/>
  <c r="AN123" i="20"/>
  <c r="Q123" i="20"/>
  <c r="R123" i="20"/>
  <c r="S123" i="20"/>
  <c r="T123" i="20"/>
  <c r="V123" i="20"/>
  <c r="U123" i="20"/>
  <c r="X123" i="20"/>
  <c r="W123" i="20"/>
  <c r="Y123" i="20"/>
  <c r="Z123" i="20"/>
  <c r="AB123" i="20"/>
  <c r="AA123" i="20"/>
  <c r="D123" i="20"/>
  <c r="E123" i="20"/>
  <c r="F123" i="20"/>
  <c r="G123" i="20"/>
  <c r="I123" i="20"/>
  <c r="H123" i="20"/>
  <c r="K123" i="20"/>
  <c r="J123" i="20"/>
  <c r="L123" i="20"/>
  <c r="M123" i="20"/>
  <c r="O123" i="20"/>
  <c r="N123" i="20"/>
  <c r="C122" i="20"/>
  <c r="C121" i="20"/>
  <c r="C120" i="20"/>
  <c r="C119" i="20"/>
  <c r="C118" i="20"/>
  <c r="C117" i="20"/>
  <c r="C116" i="20"/>
  <c r="C115" i="20"/>
  <c r="C114" i="20"/>
  <c r="C113" i="20"/>
  <c r="C112" i="20"/>
  <c r="C111" i="20"/>
  <c r="C110" i="20"/>
  <c r="C109" i="20"/>
  <c r="C108" i="20"/>
  <c r="C107" i="20"/>
  <c r="C106" i="20"/>
  <c r="C105" i="20"/>
  <c r="C104" i="20"/>
  <c r="C103" i="20"/>
  <c r="C102" i="20"/>
  <c r="C101" i="20"/>
  <c r="C100" i="20"/>
  <c r="C99" i="20"/>
  <c r="C98" i="20"/>
  <c r="C97" i="20"/>
  <c r="C96" i="20"/>
  <c r="C95" i="20"/>
  <c r="C94" i="20"/>
  <c r="C93" i="20"/>
  <c r="C92" i="20"/>
  <c r="C91" i="20"/>
  <c r="C90" i="20"/>
  <c r="C89" i="20"/>
  <c r="C88" i="20"/>
  <c r="C87" i="20"/>
  <c r="C86" i="20"/>
  <c r="C85" i="20"/>
  <c r="C84" i="20"/>
  <c r="C83" i="20"/>
  <c r="C82" i="20"/>
  <c r="C81" i="20"/>
  <c r="C80" i="20"/>
  <c r="C79" i="20"/>
  <c r="C78" i="20"/>
  <c r="C77" i="20"/>
  <c r="C76" i="20"/>
  <c r="C75" i="20"/>
  <c r="C74" i="20"/>
  <c r="C73" i="20"/>
  <c r="C72" i="20"/>
  <c r="C71" i="20"/>
  <c r="C70" i="20"/>
  <c r="C69" i="20"/>
  <c r="C68" i="20"/>
  <c r="C67" i="20"/>
  <c r="C66" i="20"/>
  <c r="C65" i="20"/>
  <c r="C64" i="20"/>
  <c r="C63" i="20"/>
  <c r="C62" i="20"/>
  <c r="C61" i="20"/>
  <c r="C60" i="20"/>
  <c r="C59" i="20"/>
  <c r="C58" i="20"/>
  <c r="C57" i="20"/>
  <c r="C56" i="20"/>
  <c r="C55" i="20"/>
  <c r="C54" i="20"/>
  <c r="C53" i="20"/>
  <c r="C52" i="20"/>
  <c r="C51" i="20"/>
  <c r="C50" i="20"/>
  <c r="C49" i="20"/>
  <c r="C48" i="20"/>
  <c r="C47" i="20"/>
  <c r="C46" i="20"/>
  <c r="C45" i="20"/>
  <c r="C44" i="20"/>
  <c r="C43" i="20"/>
  <c r="C42" i="20"/>
  <c r="C41" i="20"/>
  <c r="C40" i="20"/>
  <c r="C39" i="20"/>
  <c r="C38" i="20"/>
  <c r="C37" i="20"/>
  <c r="C36" i="20"/>
  <c r="C35" i="20"/>
  <c r="C34" i="20"/>
  <c r="C33" i="20"/>
  <c r="C32" i="20"/>
  <c r="C31" i="20"/>
  <c r="C30" i="20"/>
  <c r="C29" i="20"/>
  <c r="C28" i="20"/>
  <c r="C27" i="20"/>
  <c r="C26" i="20"/>
  <c r="C25" i="20"/>
  <c r="C24" i="20"/>
  <c r="C23" i="20"/>
  <c r="C22" i="20"/>
  <c r="C21" i="20"/>
  <c r="C20" i="20"/>
  <c r="C19" i="20"/>
  <c r="C18" i="20"/>
  <c r="C17" i="20"/>
  <c r="C16" i="20"/>
  <c r="C15" i="20"/>
  <c r="C14" i="20"/>
  <c r="C13" i="20"/>
  <c r="B15" i="13"/>
  <c r="C1" i="13"/>
  <c r="B12" i="13"/>
  <c r="B13" i="13"/>
  <c r="B6" i="13"/>
  <c r="B7" i="13"/>
  <c r="B16" i="13"/>
  <c r="B8" i="13"/>
  <c r="B4" i="13"/>
  <c r="B11" i="13"/>
  <c r="B5" i="13"/>
  <c r="A19" i="12"/>
  <c r="B5" i="12"/>
  <c r="B16" i="12"/>
  <c r="B4" i="12"/>
  <c r="F5" i="13"/>
  <c r="A20" i="12"/>
  <c r="A21" i="12"/>
  <c r="A22" i="12"/>
  <c r="A23" i="12"/>
  <c r="A24" i="12"/>
  <c r="A25" i="12"/>
  <c r="A26" i="12"/>
  <c r="A27" i="12"/>
  <c r="A28" i="12"/>
  <c r="A29" i="12"/>
  <c r="A30" i="12"/>
  <c r="A31" i="12"/>
  <c r="A32" i="12"/>
  <c r="A33" i="12"/>
  <c r="A34" i="12"/>
  <c r="A35" i="12"/>
  <c r="A36" i="12"/>
  <c r="A37" i="12"/>
  <c r="A38" i="12"/>
  <c r="A39" i="12"/>
  <c r="A40" i="12"/>
  <c r="A41" i="12"/>
  <c r="A42" i="12"/>
  <c r="A43" i="12"/>
  <c r="A44" i="12"/>
  <c r="A45" i="12"/>
  <c r="A46" i="12"/>
  <c r="A47" i="12"/>
  <c r="A48" i="12"/>
  <c r="A49" i="12"/>
  <c r="A50" i="12"/>
  <c r="A51" i="12"/>
  <c r="A52" i="12"/>
  <c r="A53" i="12"/>
  <c r="A54" i="12"/>
  <c r="A55" i="12"/>
  <c r="A56" i="12"/>
  <c r="A57" i="12"/>
  <c r="A58" i="12"/>
  <c r="A59" i="12"/>
  <c r="A60" i="12"/>
  <c r="A61" i="12"/>
  <c r="A62" i="12"/>
  <c r="A63" i="12"/>
  <c r="A64" i="12"/>
  <c r="A65" i="12"/>
  <c r="A66" i="12"/>
  <c r="A67" i="12"/>
  <c r="A68" i="12"/>
  <c r="A69" i="12"/>
  <c r="A70" i="12"/>
  <c r="A71" i="12"/>
  <c r="A72" i="12"/>
  <c r="A73" i="12"/>
  <c r="A74" i="12"/>
  <c r="A75" i="12"/>
  <c r="A76" i="12"/>
  <c r="A77" i="12"/>
  <c r="A78" i="12"/>
  <c r="A79" i="12"/>
  <c r="A80" i="12"/>
  <c r="A81" i="12"/>
  <c r="A82" i="12"/>
  <c r="A83" i="12"/>
  <c r="A84" i="12"/>
  <c r="A85" i="12"/>
  <c r="A86" i="12"/>
  <c r="A87" i="12"/>
  <c r="A88" i="12"/>
  <c r="A89" i="12"/>
  <c r="A90" i="12"/>
  <c r="A91" i="12"/>
  <c r="A92" i="12"/>
  <c r="A93" i="12"/>
  <c r="A94" i="12"/>
  <c r="A95" i="12"/>
  <c r="A96" i="12"/>
  <c r="A97" i="12"/>
  <c r="A98" i="12"/>
  <c r="A99" i="12"/>
  <c r="A100" i="12"/>
  <c r="A101" i="12"/>
  <c r="A102" i="12"/>
  <c r="A103" i="12"/>
  <c r="B12" i="12"/>
  <c r="A103" i="13"/>
  <c r="A102" i="13"/>
  <c r="A101" i="13"/>
  <c r="A100" i="13"/>
  <c r="A99" i="13"/>
  <c r="A98" i="13"/>
  <c r="A97" i="13"/>
  <c r="A96" i="13"/>
  <c r="A95" i="13"/>
  <c r="A94" i="13"/>
  <c r="A93" i="13"/>
  <c r="A92" i="13"/>
  <c r="A91" i="13"/>
  <c r="A90" i="13"/>
  <c r="A89" i="13"/>
  <c r="A88" i="13"/>
  <c r="A87" i="13"/>
  <c r="A86" i="13"/>
  <c r="A85" i="13"/>
  <c r="A84" i="13"/>
  <c r="A83" i="13"/>
  <c r="A82" i="13"/>
  <c r="A81" i="13"/>
  <c r="A80" i="13"/>
  <c r="A79" i="13"/>
  <c r="A78" i="13"/>
  <c r="A77" i="13"/>
  <c r="A76" i="13"/>
  <c r="A75" i="13"/>
  <c r="A74" i="13"/>
  <c r="A73" i="13"/>
  <c r="A72" i="13"/>
  <c r="A71" i="13"/>
  <c r="A70" i="13"/>
  <c r="A69" i="13"/>
  <c r="A68" i="13"/>
  <c r="A67" i="13"/>
  <c r="A66" i="13"/>
  <c r="A65" i="13"/>
  <c r="A64" i="13"/>
  <c r="A63" i="13"/>
  <c r="A62" i="13"/>
  <c r="A61" i="13"/>
  <c r="A60" i="13"/>
  <c r="A59" i="13"/>
  <c r="A58" i="13"/>
  <c r="A57" i="13"/>
  <c r="A56" i="13"/>
  <c r="A55" i="13"/>
  <c r="A54" i="13"/>
  <c r="A53" i="13"/>
  <c r="A52" i="13"/>
  <c r="A51" i="13"/>
  <c r="A50" i="13"/>
  <c r="A49" i="13"/>
  <c r="A48" i="13"/>
  <c r="A47" i="13"/>
  <c r="A46" i="13"/>
  <c r="A45" i="13"/>
  <c r="A44" i="13"/>
  <c r="A43" i="13"/>
  <c r="A42" i="13"/>
  <c r="A41" i="13"/>
  <c r="A40" i="13"/>
  <c r="A39" i="13"/>
  <c r="A38" i="13"/>
  <c r="A37" i="13"/>
  <c r="A36" i="13"/>
  <c r="A35" i="13"/>
  <c r="A34" i="13"/>
  <c r="A33" i="13"/>
  <c r="A32" i="13"/>
  <c r="A31" i="13"/>
  <c r="A30" i="13"/>
  <c r="A29" i="13"/>
  <c r="A28" i="13"/>
  <c r="A27" i="13"/>
  <c r="A26" i="13"/>
  <c r="A25" i="13"/>
  <c r="A24" i="13"/>
  <c r="A23" i="13"/>
  <c r="A22" i="13"/>
  <c r="A21" i="13"/>
  <c r="A20" i="13"/>
  <c r="A19" i="13"/>
  <c r="B15" i="11"/>
  <c r="C1" i="11"/>
  <c r="B12" i="11"/>
  <c r="B13" i="11"/>
  <c r="B6" i="11"/>
  <c r="B7" i="11"/>
  <c r="B16" i="11"/>
  <c r="B8" i="11"/>
  <c r="B4" i="11"/>
  <c r="B11" i="11"/>
  <c r="B5" i="11"/>
  <c r="A19" i="10"/>
  <c r="B5" i="10"/>
  <c r="B16" i="10"/>
  <c r="B4" i="10"/>
  <c r="F5" i="11"/>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65" i="10"/>
  <c r="A66" i="10"/>
  <c r="A67" i="10"/>
  <c r="A68" i="10"/>
  <c r="A69" i="10"/>
  <c r="A70" i="10"/>
  <c r="A71" i="10"/>
  <c r="A72" i="10"/>
  <c r="A73" i="10"/>
  <c r="A74"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B12" i="10"/>
  <c r="A103" i="8"/>
  <c r="B5" i="8"/>
  <c r="B16" i="8"/>
  <c r="B4" i="8"/>
  <c r="A102" i="8"/>
  <c r="A101" i="8"/>
  <c r="A100" i="8"/>
  <c r="A99" i="8"/>
  <c r="A98" i="8"/>
  <c r="A97" i="8"/>
  <c r="A96" i="8"/>
  <c r="A95" i="8"/>
  <c r="A94" i="8"/>
  <c r="A93" i="8"/>
  <c r="A92" i="8"/>
  <c r="A91" i="8"/>
  <c r="A90" i="8"/>
  <c r="A89" i="8"/>
  <c r="A88" i="8"/>
  <c r="A87" i="8"/>
  <c r="A86" i="8"/>
  <c r="A85" i="8"/>
  <c r="A84" i="8"/>
  <c r="A83" i="8"/>
  <c r="A82" i="8"/>
  <c r="A81" i="8"/>
  <c r="A80" i="8"/>
  <c r="A79" i="8"/>
  <c r="A78" i="8"/>
  <c r="A77" i="8"/>
  <c r="A76" i="8"/>
  <c r="A75" i="8"/>
  <c r="A74" i="8"/>
  <c r="A73" i="8"/>
  <c r="A72" i="8"/>
  <c r="A71" i="8"/>
  <c r="A70" i="8"/>
  <c r="A69" i="8"/>
  <c r="A68" i="8"/>
  <c r="A67" i="8"/>
  <c r="A66" i="8"/>
  <c r="A65" i="8"/>
  <c r="A64" i="8"/>
  <c r="A63" i="8"/>
  <c r="A62" i="8"/>
  <c r="A61" i="8"/>
  <c r="A60" i="8"/>
  <c r="A59" i="8"/>
  <c r="A58" i="8"/>
  <c r="A57" i="8"/>
  <c r="A56" i="8"/>
  <c r="A55" i="8"/>
  <c r="A54" i="8"/>
  <c r="A53" i="8"/>
  <c r="A52" i="8"/>
  <c r="A51" i="8"/>
  <c r="A50" i="8"/>
  <c r="A49" i="8"/>
  <c r="A48" i="8"/>
  <c r="A47" i="8"/>
  <c r="A46" i="8"/>
  <c r="A45" i="8"/>
  <c r="A44" i="8"/>
  <c r="A43" i="8"/>
  <c r="A42" i="8"/>
  <c r="A41" i="8"/>
  <c r="A40" i="8"/>
  <c r="A39" i="8"/>
  <c r="A38" i="8"/>
  <c r="A37" i="8"/>
  <c r="A36" i="8"/>
  <c r="A35" i="8"/>
  <c r="A34" i="8"/>
  <c r="A33" i="8"/>
  <c r="A32" i="8"/>
  <c r="A31" i="8"/>
  <c r="A30" i="8"/>
  <c r="A29" i="8"/>
  <c r="A28" i="8"/>
  <c r="A27" i="8"/>
  <c r="A26" i="8"/>
  <c r="A25" i="8"/>
  <c r="A24" i="8"/>
  <c r="A23" i="8"/>
  <c r="A22" i="8"/>
  <c r="A21" i="8"/>
  <c r="A20" i="8"/>
  <c r="A19" i="8"/>
  <c r="A103" i="11"/>
  <c r="A102" i="11"/>
  <c r="A101" i="11"/>
  <c r="A100" i="11"/>
  <c r="A99" i="11"/>
  <c r="A98" i="11"/>
  <c r="A97" i="11"/>
  <c r="A96" i="11"/>
  <c r="A95" i="11"/>
  <c r="A94" i="11"/>
  <c r="A93" i="11"/>
  <c r="A92" i="11"/>
  <c r="A91" i="11"/>
  <c r="A90" i="11"/>
  <c r="A89" i="11"/>
  <c r="A88" i="11"/>
  <c r="A87" i="11"/>
  <c r="A86" i="11"/>
  <c r="A85" i="11"/>
  <c r="A84" i="11"/>
  <c r="A83" i="11"/>
  <c r="A82" i="11"/>
  <c r="A81" i="11"/>
  <c r="A80" i="11"/>
  <c r="A79" i="11"/>
  <c r="A78" i="11"/>
  <c r="A77" i="11"/>
  <c r="A76" i="11"/>
  <c r="A75" i="11"/>
  <c r="A74" i="11"/>
  <c r="A73" i="11"/>
  <c r="A72" i="11"/>
  <c r="A71" i="11"/>
  <c r="A70" i="11"/>
  <c r="A69" i="11"/>
  <c r="A68" i="11"/>
  <c r="A67" i="11"/>
  <c r="A66" i="11"/>
  <c r="A65" i="11"/>
  <c r="A64" i="11"/>
  <c r="A63" i="11"/>
  <c r="A62" i="11"/>
  <c r="A61" i="11"/>
  <c r="A60" i="11"/>
  <c r="A59" i="11"/>
  <c r="A58" i="11"/>
  <c r="A57" i="11"/>
  <c r="A56" i="11"/>
  <c r="A55" i="11"/>
  <c r="A54" i="11"/>
  <c r="A53" i="11"/>
  <c r="A52" i="11"/>
  <c r="A51" i="11"/>
  <c r="A50" i="11"/>
  <c r="A49" i="11"/>
  <c r="A48" i="11"/>
  <c r="A47" i="11"/>
  <c r="A46" i="11"/>
  <c r="A45" i="11"/>
  <c r="A44" i="11"/>
  <c r="A43" i="11"/>
  <c r="A42" i="11"/>
  <c r="A41" i="11"/>
  <c r="A40" i="11"/>
  <c r="A39" i="11"/>
  <c r="A38" i="11"/>
  <c r="A37" i="11"/>
  <c r="A36" i="11"/>
  <c r="A35" i="11"/>
  <c r="A34" i="11"/>
  <c r="A33" i="11"/>
  <c r="A32" i="11"/>
  <c r="A31" i="11"/>
  <c r="A30" i="11"/>
  <c r="A29" i="11"/>
  <c r="A28" i="11"/>
  <c r="A27" i="11"/>
  <c r="A26" i="11"/>
  <c r="A25" i="11"/>
  <c r="A24" i="11"/>
  <c r="A23" i="11"/>
  <c r="A22" i="11"/>
  <c r="A21" i="11"/>
  <c r="A20" i="11"/>
  <c r="A19" i="11"/>
  <c r="B15" i="9"/>
  <c r="C1" i="9"/>
  <c r="B12" i="9"/>
  <c r="B13" i="9"/>
  <c r="B6" i="9"/>
  <c r="B7" i="9"/>
  <c r="B16" i="9"/>
  <c r="B8" i="9"/>
  <c r="B4" i="9"/>
  <c r="B11" i="9"/>
  <c r="B5" i="9"/>
  <c r="F5" i="9"/>
  <c r="B12" i="8"/>
  <c r="A103" i="9"/>
  <c r="A102" i="9"/>
  <c r="A101" i="9"/>
  <c r="A100" i="9"/>
  <c r="A99" i="9"/>
  <c r="A98" i="9"/>
  <c r="A97" i="9"/>
  <c r="A96" i="9"/>
  <c r="A95" i="9"/>
  <c r="A94" i="9"/>
  <c r="A93" i="9"/>
  <c r="A92" i="9"/>
  <c r="A91" i="9"/>
  <c r="A90" i="9"/>
  <c r="A89" i="9"/>
  <c r="A88" i="9"/>
  <c r="A87" i="9"/>
  <c r="A86" i="9"/>
  <c r="A85" i="9"/>
  <c r="A84" i="9"/>
  <c r="A83" i="9"/>
  <c r="A82" i="9"/>
  <c r="A81" i="9"/>
  <c r="A80" i="9"/>
  <c r="A79" i="9"/>
  <c r="A78" i="9"/>
  <c r="A77" i="9"/>
  <c r="A76" i="9"/>
  <c r="A75" i="9"/>
  <c r="A74" i="9"/>
  <c r="A73" i="9"/>
  <c r="A72" i="9"/>
  <c r="A71" i="9"/>
  <c r="A70" i="9"/>
  <c r="A69" i="9"/>
  <c r="A68" i="9"/>
  <c r="A67" i="9"/>
  <c r="A66" i="9"/>
  <c r="A65" i="9"/>
  <c r="A64" i="9"/>
  <c r="A63" i="9"/>
  <c r="A62" i="9"/>
  <c r="A61" i="9"/>
  <c r="A60" i="9"/>
  <c r="A59" i="9"/>
  <c r="A58" i="9"/>
  <c r="A57" i="9"/>
  <c r="A56" i="9"/>
  <c r="A55" i="9"/>
  <c r="A54" i="9"/>
  <c r="A53" i="9"/>
  <c r="A52" i="9"/>
  <c r="A51" i="9"/>
  <c r="A50" i="9"/>
  <c r="A49" i="9"/>
  <c r="A48" i="9"/>
  <c r="A47" i="9"/>
  <c r="A46" i="9"/>
  <c r="A45" i="9"/>
  <c r="A44" i="9"/>
  <c r="A43" i="9"/>
  <c r="A42" i="9"/>
  <c r="A41" i="9"/>
  <c r="A40" i="9"/>
  <c r="A39" i="9"/>
  <c r="A38" i="9"/>
  <c r="A37" i="9"/>
  <c r="A36" i="9"/>
  <c r="A35" i="9"/>
  <c r="A34" i="9"/>
  <c r="A33" i="9"/>
  <c r="A32" i="9"/>
  <c r="A31" i="9"/>
  <c r="A30" i="9"/>
  <c r="A29" i="9"/>
  <c r="A28" i="9"/>
  <c r="A27" i="9"/>
  <c r="A26" i="9"/>
  <c r="A25" i="9"/>
  <c r="A24" i="9"/>
  <c r="A23" i="9"/>
  <c r="A22" i="9"/>
  <c r="A21" i="9"/>
  <c r="A20" i="9"/>
  <c r="A19" i="9"/>
  <c r="F5" i="2"/>
  <c r="B16" i="2"/>
  <c r="B4" i="2"/>
  <c r="B9" i="2"/>
  <c r="B11" i="2"/>
  <c r="C21" i="2"/>
  <c r="B5" i="1"/>
  <c r="B16" i="1"/>
  <c r="B4" i="1"/>
  <c r="B11" i="1"/>
  <c r="E21" i="1"/>
  <c r="B21" i="2"/>
  <c r="B5" i="2"/>
  <c r="F21" i="2"/>
  <c r="F4" i="2"/>
  <c r="B15" i="2"/>
  <c r="C1" i="2"/>
  <c r="B12" i="2"/>
  <c r="B13" i="2"/>
  <c r="B7" i="2"/>
  <c r="L17" i="2"/>
  <c r="C19" i="2"/>
  <c r="E19" i="1"/>
  <c r="B19" i="2"/>
  <c r="F19" i="2"/>
  <c r="C20" i="2"/>
  <c r="E20" i="1"/>
  <c r="B20" i="2"/>
  <c r="F20" i="2"/>
  <c r="C22" i="2"/>
  <c r="E22" i="1"/>
  <c r="B22" i="2"/>
  <c r="F22" i="2"/>
  <c r="C23" i="2"/>
  <c r="E23" i="1"/>
  <c r="B23" i="2"/>
  <c r="F23" i="2"/>
  <c r="C24" i="2"/>
  <c r="E24" i="1"/>
  <c r="B24" i="2"/>
  <c r="F24" i="2"/>
  <c r="C25" i="2"/>
  <c r="E25" i="1"/>
  <c r="B25" i="2"/>
  <c r="F25" i="2"/>
  <c r="C26" i="2"/>
  <c r="E26" i="1"/>
  <c r="B26" i="2"/>
  <c r="F26" i="2"/>
  <c r="C27" i="2"/>
  <c r="E27" i="1"/>
  <c r="B27" i="2"/>
  <c r="F27" i="2"/>
  <c r="C28" i="2"/>
  <c r="E28" i="1"/>
  <c r="B28" i="2"/>
  <c r="F28" i="2"/>
  <c r="C29" i="2"/>
  <c r="E29" i="1"/>
  <c r="B29" i="2"/>
  <c r="F29" i="2"/>
  <c r="C30" i="2"/>
  <c r="E30" i="1"/>
  <c r="B30" i="2"/>
  <c r="F30" i="2"/>
  <c r="C31" i="2"/>
  <c r="E31" i="1"/>
  <c r="B31" i="2"/>
  <c r="F31" i="2"/>
  <c r="C32" i="2"/>
  <c r="E32" i="1"/>
  <c r="B32" i="2"/>
  <c r="F32" i="2"/>
  <c r="C33" i="2"/>
  <c r="E33" i="1"/>
  <c r="B33" i="2"/>
  <c r="F33" i="2"/>
  <c r="C34" i="2"/>
  <c r="E34" i="1"/>
  <c r="B34" i="2"/>
  <c r="F34" i="2"/>
  <c r="C35" i="2"/>
  <c r="E35" i="1"/>
  <c r="B35" i="2"/>
  <c r="F35" i="2"/>
  <c r="C36" i="2"/>
  <c r="E36" i="1"/>
  <c r="B36" i="2"/>
  <c r="F36" i="2"/>
  <c r="C37" i="2"/>
  <c r="E37" i="1"/>
  <c r="B37" i="2"/>
  <c r="F37" i="2"/>
  <c r="C38" i="2"/>
  <c r="E38" i="1"/>
  <c r="B38" i="2"/>
  <c r="F38" i="2"/>
  <c r="C39" i="2"/>
  <c r="E39" i="1"/>
  <c r="B39" i="2"/>
  <c r="F39" i="2"/>
  <c r="C40" i="2"/>
  <c r="E40" i="1"/>
  <c r="B40" i="2"/>
  <c r="F40" i="2"/>
  <c r="C41" i="2"/>
  <c r="E41" i="1"/>
  <c r="B41" i="2"/>
  <c r="F41" i="2"/>
  <c r="C42" i="2"/>
  <c r="E42" i="1"/>
  <c r="B42" i="2"/>
  <c r="F42" i="2"/>
  <c r="C43" i="2"/>
  <c r="E43" i="1"/>
  <c r="B43" i="2"/>
  <c r="F43" i="2"/>
  <c r="C44" i="2"/>
  <c r="E44" i="1"/>
  <c r="B44" i="2"/>
  <c r="F44" i="2"/>
  <c r="C45" i="2"/>
  <c r="E45" i="1"/>
  <c r="B45" i="2"/>
  <c r="F45" i="2"/>
  <c r="C46" i="2"/>
  <c r="E46" i="1"/>
  <c r="B46" i="2"/>
  <c r="F46" i="2"/>
  <c r="C47" i="2"/>
  <c r="E47" i="1"/>
  <c r="B47" i="2"/>
  <c r="F47" i="2"/>
  <c r="C48" i="2"/>
  <c r="E48" i="1"/>
  <c r="B48" i="2"/>
  <c r="F48" i="2"/>
  <c r="C49" i="2"/>
  <c r="E49" i="1"/>
  <c r="B49" i="2"/>
  <c r="F49" i="2"/>
  <c r="C50" i="2"/>
  <c r="E50" i="1"/>
  <c r="B50" i="2"/>
  <c r="F50" i="2"/>
  <c r="C51" i="2"/>
  <c r="E51" i="1"/>
  <c r="B51" i="2"/>
  <c r="F51" i="2"/>
  <c r="C52" i="2"/>
  <c r="E52" i="1"/>
  <c r="B52" i="2"/>
  <c r="F52" i="2"/>
  <c r="C53" i="2"/>
  <c r="E53" i="1"/>
  <c r="B53" i="2"/>
  <c r="F53" i="2"/>
  <c r="C54" i="2"/>
  <c r="E54" i="1"/>
  <c r="B54" i="2"/>
  <c r="F54" i="2"/>
  <c r="C55" i="2"/>
  <c r="E55" i="1"/>
  <c r="B55" i="2"/>
  <c r="F55" i="2"/>
  <c r="C56" i="2"/>
  <c r="E56" i="1"/>
  <c r="B56" i="2"/>
  <c r="F56" i="2"/>
  <c r="C57" i="2"/>
  <c r="E57" i="1"/>
  <c r="B57" i="2"/>
  <c r="F57" i="2"/>
  <c r="C58" i="2"/>
  <c r="E58" i="1"/>
  <c r="B58" i="2"/>
  <c r="F58" i="2"/>
  <c r="C59" i="2"/>
  <c r="E59" i="1"/>
  <c r="B59" i="2"/>
  <c r="F59" i="2"/>
  <c r="C60" i="2"/>
  <c r="E60" i="1"/>
  <c r="B60" i="2"/>
  <c r="F60" i="2"/>
  <c r="C61" i="2"/>
  <c r="E61" i="1"/>
  <c r="B61" i="2"/>
  <c r="F61" i="2"/>
  <c r="C62" i="2"/>
  <c r="E62" i="1"/>
  <c r="B62" i="2"/>
  <c r="F62" i="2"/>
  <c r="C63" i="2"/>
  <c r="E63" i="1"/>
  <c r="B63" i="2"/>
  <c r="F63" i="2"/>
  <c r="C64" i="2"/>
  <c r="E64" i="1"/>
  <c r="B64" i="2"/>
  <c r="F64" i="2"/>
  <c r="C65" i="2"/>
  <c r="E65" i="1"/>
  <c r="B65" i="2"/>
  <c r="F65" i="2"/>
  <c r="C66" i="2"/>
  <c r="E66" i="1"/>
  <c r="B66" i="2"/>
  <c r="F66" i="2"/>
  <c r="C67" i="2"/>
  <c r="E67" i="1"/>
  <c r="B67" i="2"/>
  <c r="F67" i="2"/>
  <c r="C68" i="2"/>
  <c r="E68" i="1"/>
  <c r="B68" i="2"/>
  <c r="F68" i="2"/>
  <c r="C69" i="2"/>
  <c r="E69" i="1"/>
  <c r="B69" i="2"/>
  <c r="F69" i="2"/>
  <c r="C70" i="2"/>
  <c r="E70" i="1"/>
  <c r="B70" i="2"/>
  <c r="F70" i="2"/>
  <c r="C71" i="2"/>
  <c r="E71" i="1"/>
  <c r="B71" i="2"/>
  <c r="F71" i="2"/>
  <c r="C72" i="2"/>
  <c r="E72" i="1"/>
  <c r="B72" i="2"/>
  <c r="F72" i="2"/>
  <c r="C73" i="2"/>
  <c r="E73" i="1"/>
  <c r="B73" i="2"/>
  <c r="F73" i="2"/>
  <c r="C74" i="2"/>
  <c r="E74" i="1"/>
  <c r="B74" i="2"/>
  <c r="F74" i="2"/>
  <c r="C75" i="2"/>
  <c r="E75" i="1"/>
  <c r="B75" i="2"/>
  <c r="F75" i="2"/>
  <c r="C76" i="2"/>
  <c r="E76" i="1"/>
  <c r="B76" i="2"/>
  <c r="F76" i="2"/>
  <c r="C77" i="2"/>
  <c r="E77" i="1"/>
  <c r="B77" i="2"/>
  <c r="F77" i="2"/>
  <c r="C78" i="2"/>
  <c r="E78" i="1"/>
  <c r="B78" i="2"/>
  <c r="F78" i="2"/>
  <c r="C79" i="2"/>
  <c r="E79" i="1"/>
  <c r="B79" i="2"/>
  <c r="F79" i="2"/>
  <c r="C80" i="2"/>
  <c r="E80" i="1"/>
  <c r="B80" i="2"/>
  <c r="F80" i="2"/>
  <c r="C81" i="2"/>
  <c r="E81" i="1"/>
  <c r="B81" i="2"/>
  <c r="F81" i="2"/>
  <c r="C82" i="2"/>
  <c r="E82" i="1"/>
  <c r="B82" i="2"/>
  <c r="F82" i="2"/>
  <c r="C83" i="2"/>
  <c r="E83" i="1"/>
  <c r="B83" i="2"/>
  <c r="F83" i="2"/>
  <c r="C84" i="2"/>
  <c r="E84" i="1"/>
  <c r="B84" i="2"/>
  <c r="F84" i="2"/>
  <c r="C85" i="2"/>
  <c r="E85" i="1"/>
  <c r="B85" i="2"/>
  <c r="F85" i="2"/>
  <c r="C86" i="2"/>
  <c r="E86" i="1"/>
  <c r="B86" i="2"/>
  <c r="F86" i="2"/>
  <c r="C87" i="2"/>
  <c r="E87" i="1"/>
  <c r="B87" i="2"/>
  <c r="F87" i="2"/>
  <c r="C88" i="2"/>
  <c r="E88" i="1"/>
  <c r="B88" i="2"/>
  <c r="F88" i="2"/>
  <c r="C89" i="2"/>
  <c r="E89" i="1"/>
  <c r="B89" i="2"/>
  <c r="F89" i="2"/>
  <c r="C90" i="2"/>
  <c r="E90" i="1"/>
  <c r="B90" i="2"/>
  <c r="F90" i="2"/>
  <c r="C91" i="2"/>
  <c r="E91" i="1"/>
  <c r="B91" i="2"/>
  <c r="F91" i="2"/>
  <c r="C92" i="2"/>
  <c r="E92" i="1"/>
  <c r="B92" i="2"/>
  <c r="F92" i="2"/>
  <c r="C93" i="2"/>
  <c r="E93" i="1"/>
  <c r="B93" i="2"/>
  <c r="F93" i="2"/>
  <c r="C94" i="2"/>
  <c r="E94" i="1"/>
  <c r="B94" i="2"/>
  <c r="F94" i="2"/>
  <c r="C95" i="2"/>
  <c r="E95" i="1"/>
  <c r="B95" i="2"/>
  <c r="F95" i="2"/>
  <c r="C96" i="2"/>
  <c r="E96" i="1"/>
  <c r="B96" i="2"/>
  <c r="F96" i="2"/>
  <c r="C97" i="2"/>
  <c r="E97" i="1"/>
  <c r="B97" i="2"/>
  <c r="F97" i="2"/>
  <c r="C98" i="2"/>
  <c r="E98" i="1"/>
  <c r="B98" i="2"/>
  <c r="F98" i="2"/>
  <c r="C99" i="2"/>
  <c r="E99" i="1"/>
  <c r="B99" i="2"/>
  <c r="F99" i="2"/>
  <c r="C100" i="2"/>
  <c r="E100" i="1"/>
  <c r="B100" i="2"/>
  <c r="F100" i="2"/>
  <c r="C101" i="2"/>
  <c r="E101" i="1"/>
  <c r="B101" i="2"/>
  <c r="F101" i="2"/>
  <c r="C102" i="2"/>
  <c r="E102" i="1"/>
  <c r="B102" i="2"/>
  <c r="F102" i="2"/>
  <c r="C103" i="2"/>
  <c r="E103" i="1"/>
  <c r="B103" i="2"/>
  <c r="F103" i="2"/>
  <c r="B12" i="1"/>
  <c r="F103" i="1"/>
  <c r="B14" i="1"/>
  <c r="J103" i="1"/>
  <c r="B13" i="1"/>
  <c r="G103" i="1"/>
  <c r="H103" i="1"/>
  <c r="I103" i="1"/>
  <c r="K103" i="1"/>
  <c r="H103" i="2"/>
  <c r="F102" i="1"/>
  <c r="J102" i="1"/>
  <c r="G102" i="1"/>
  <c r="H102" i="1"/>
  <c r="I102" i="1"/>
  <c r="K102" i="1"/>
  <c r="H102" i="2"/>
  <c r="F101" i="1"/>
  <c r="J101" i="1"/>
  <c r="G101" i="1"/>
  <c r="H101" i="1"/>
  <c r="I101" i="1"/>
  <c r="K101" i="1"/>
  <c r="H101" i="2"/>
  <c r="F100" i="1"/>
  <c r="J100" i="1"/>
  <c r="G100" i="1"/>
  <c r="H100" i="1"/>
  <c r="I100" i="1"/>
  <c r="K100" i="1"/>
  <c r="H100" i="2"/>
  <c r="F99" i="1"/>
  <c r="J99" i="1"/>
  <c r="G99" i="1"/>
  <c r="H99" i="1"/>
  <c r="I99" i="1"/>
  <c r="K99" i="1"/>
  <c r="H99" i="2"/>
  <c r="F98" i="1"/>
  <c r="J98" i="1"/>
  <c r="G98" i="1"/>
  <c r="H98" i="1"/>
  <c r="I98" i="1"/>
  <c r="K98" i="1"/>
  <c r="H98" i="2"/>
  <c r="F97" i="1"/>
  <c r="J97" i="1"/>
  <c r="G97" i="1"/>
  <c r="H97" i="1"/>
  <c r="I97" i="1"/>
  <c r="K97" i="1"/>
  <c r="H97" i="2"/>
  <c r="F96" i="1"/>
  <c r="J96" i="1"/>
  <c r="G96" i="1"/>
  <c r="H96" i="1"/>
  <c r="I96" i="1"/>
  <c r="K96" i="1"/>
  <c r="H96" i="2"/>
  <c r="F95" i="1"/>
  <c r="J95" i="1"/>
  <c r="G95" i="1"/>
  <c r="H95" i="1"/>
  <c r="I95" i="1"/>
  <c r="K95" i="1"/>
  <c r="H95" i="2"/>
  <c r="F94" i="1"/>
  <c r="J94" i="1"/>
  <c r="G94" i="1"/>
  <c r="H94" i="1"/>
  <c r="I94" i="1"/>
  <c r="K94" i="1"/>
  <c r="H94" i="2"/>
  <c r="F93" i="1"/>
  <c r="J93" i="1"/>
  <c r="G93" i="1"/>
  <c r="H93" i="1"/>
  <c r="I93" i="1"/>
  <c r="K93" i="1"/>
  <c r="H93" i="2"/>
  <c r="F92" i="1"/>
  <c r="J92" i="1"/>
  <c r="G92" i="1"/>
  <c r="H92" i="1"/>
  <c r="I92" i="1"/>
  <c r="K92" i="1"/>
  <c r="H92" i="2"/>
  <c r="F91" i="1"/>
  <c r="J91" i="1"/>
  <c r="G91" i="1"/>
  <c r="H91" i="1"/>
  <c r="I91" i="1"/>
  <c r="K91" i="1"/>
  <c r="H91" i="2"/>
  <c r="F90" i="1"/>
  <c r="J90" i="1"/>
  <c r="G90" i="1"/>
  <c r="H90" i="1"/>
  <c r="I90" i="1"/>
  <c r="K90" i="1"/>
  <c r="H90" i="2"/>
  <c r="F89" i="1"/>
  <c r="J89" i="1"/>
  <c r="G89" i="1"/>
  <c r="H89" i="1"/>
  <c r="I89" i="1"/>
  <c r="K89" i="1"/>
  <c r="H89" i="2"/>
  <c r="F88" i="1"/>
  <c r="J88" i="1"/>
  <c r="G88" i="1"/>
  <c r="H88" i="1"/>
  <c r="I88" i="1"/>
  <c r="K88" i="1"/>
  <c r="H88" i="2"/>
  <c r="F87" i="1"/>
  <c r="J87" i="1"/>
  <c r="G87" i="1"/>
  <c r="H87" i="1"/>
  <c r="I87" i="1"/>
  <c r="K87" i="1"/>
  <c r="H87" i="2"/>
  <c r="F86" i="1"/>
  <c r="J86" i="1"/>
  <c r="G86" i="1"/>
  <c r="H86" i="1"/>
  <c r="I86" i="1"/>
  <c r="K86" i="1"/>
  <c r="H86" i="2"/>
  <c r="F85" i="1"/>
  <c r="J85" i="1"/>
  <c r="G85" i="1"/>
  <c r="H85" i="1"/>
  <c r="I85" i="1"/>
  <c r="K85" i="1"/>
  <c r="H85" i="2"/>
  <c r="F84" i="1"/>
  <c r="J84" i="1"/>
  <c r="G84" i="1"/>
  <c r="H84" i="1"/>
  <c r="I84" i="1"/>
  <c r="K84" i="1"/>
  <c r="H84" i="2"/>
  <c r="F83" i="1"/>
  <c r="J83" i="1"/>
  <c r="G83" i="1"/>
  <c r="H83" i="1"/>
  <c r="I83" i="1"/>
  <c r="K83" i="1"/>
  <c r="H83" i="2"/>
  <c r="F82" i="1"/>
  <c r="J82" i="1"/>
  <c r="G82" i="1"/>
  <c r="H82" i="1"/>
  <c r="I82" i="1"/>
  <c r="K82" i="1"/>
  <c r="H82" i="2"/>
  <c r="F81" i="1"/>
  <c r="J81" i="1"/>
  <c r="G81" i="1"/>
  <c r="H81" i="1"/>
  <c r="I81" i="1"/>
  <c r="K81" i="1"/>
  <c r="H81" i="2"/>
  <c r="F80" i="1"/>
  <c r="J80" i="1"/>
  <c r="G80" i="1"/>
  <c r="H80" i="1"/>
  <c r="I80" i="1"/>
  <c r="K80" i="1"/>
  <c r="H80" i="2"/>
  <c r="F79" i="1"/>
  <c r="J79" i="1"/>
  <c r="G79" i="1"/>
  <c r="H79" i="1"/>
  <c r="I79" i="1"/>
  <c r="K79" i="1"/>
  <c r="H79" i="2"/>
  <c r="F78" i="1"/>
  <c r="J78" i="1"/>
  <c r="G78" i="1"/>
  <c r="H78" i="1"/>
  <c r="I78" i="1"/>
  <c r="K78" i="1"/>
  <c r="H78" i="2"/>
  <c r="F77" i="1"/>
  <c r="J77" i="1"/>
  <c r="G77" i="1"/>
  <c r="H77" i="1"/>
  <c r="I77" i="1"/>
  <c r="K77" i="1"/>
  <c r="H77" i="2"/>
  <c r="F76" i="1"/>
  <c r="J76" i="1"/>
  <c r="G76" i="1"/>
  <c r="H76" i="1"/>
  <c r="I76" i="1"/>
  <c r="K76" i="1"/>
  <c r="H76" i="2"/>
  <c r="F75" i="1"/>
  <c r="J75" i="1"/>
  <c r="G75" i="1"/>
  <c r="H75" i="1"/>
  <c r="I75" i="1"/>
  <c r="K75" i="1"/>
  <c r="H75" i="2"/>
  <c r="F74" i="1"/>
  <c r="J74" i="1"/>
  <c r="G74" i="1"/>
  <c r="H74" i="1"/>
  <c r="I74" i="1"/>
  <c r="K74" i="1"/>
  <c r="H74" i="2"/>
  <c r="F73" i="1"/>
  <c r="J73" i="1"/>
  <c r="G73" i="1"/>
  <c r="H73" i="1"/>
  <c r="I73" i="1"/>
  <c r="K73" i="1"/>
  <c r="H73" i="2"/>
  <c r="F72" i="1"/>
  <c r="J72" i="1"/>
  <c r="G72" i="1"/>
  <c r="H72" i="1"/>
  <c r="I72" i="1"/>
  <c r="K72" i="1"/>
  <c r="H72" i="2"/>
  <c r="F71" i="1"/>
  <c r="J71" i="1"/>
  <c r="G71" i="1"/>
  <c r="H71" i="1"/>
  <c r="I71" i="1"/>
  <c r="K71" i="1"/>
  <c r="H71" i="2"/>
  <c r="F70" i="1"/>
  <c r="J70" i="1"/>
  <c r="G70" i="1"/>
  <c r="H70" i="1"/>
  <c r="I70" i="1"/>
  <c r="K70" i="1"/>
  <c r="H70" i="2"/>
  <c r="F69" i="1"/>
  <c r="J69" i="1"/>
  <c r="G69" i="1"/>
  <c r="H69" i="1"/>
  <c r="I69" i="1"/>
  <c r="K69" i="1"/>
  <c r="H69" i="2"/>
  <c r="F68" i="1"/>
  <c r="J68" i="1"/>
  <c r="G68" i="1"/>
  <c r="H68" i="1"/>
  <c r="I68" i="1"/>
  <c r="K68" i="1"/>
  <c r="H68" i="2"/>
  <c r="F67" i="1"/>
  <c r="J67" i="1"/>
  <c r="G67" i="1"/>
  <c r="H67" i="1"/>
  <c r="I67" i="1"/>
  <c r="K67" i="1"/>
  <c r="H67" i="2"/>
  <c r="F66" i="1"/>
  <c r="J66" i="1"/>
  <c r="G66" i="1"/>
  <c r="H66" i="1"/>
  <c r="I66" i="1"/>
  <c r="K66" i="1"/>
  <c r="H66" i="2"/>
  <c r="F65" i="1"/>
  <c r="J65" i="1"/>
  <c r="G65" i="1"/>
  <c r="H65" i="1"/>
  <c r="I65" i="1"/>
  <c r="K65" i="1"/>
  <c r="H65" i="2"/>
  <c r="F64" i="1"/>
  <c r="J64" i="1"/>
  <c r="G64" i="1"/>
  <c r="H64" i="1"/>
  <c r="I64" i="1"/>
  <c r="K64" i="1"/>
  <c r="H64" i="2"/>
  <c r="F63" i="1"/>
  <c r="J63" i="1"/>
  <c r="G63" i="1"/>
  <c r="H63" i="1"/>
  <c r="I63" i="1"/>
  <c r="K63" i="1"/>
  <c r="H63" i="2"/>
  <c r="F62" i="1"/>
  <c r="J62" i="1"/>
  <c r="G62" i="1"/>
  <c r="H62" i="1"/>
  <c r="I62" i="1"/>
  <c r="K62" i="1"/>
  <c r="H62" i="2"/>
  <c r="F61" i="1"/>
  <c r="J61" i="1"/>
  <c r="G61" i="1"/>
  <c r="H61" i="1"/>
  <c r="I61" i="1"/>
  <c r="K61" i="1"/>
  <c r="H61" i="2"/>
  <c r="F60" i="1"/>
  <c r="J60" i="1"/>
  <c r="G60" i="1"/>
  <c r="H60" i="1"/>
  <c r="I60" i="1"/>
  <c r="K60" i="1"/>
  <c r="H60" i="2"/>
  <c r="F59" i="1"/>
  <c r="J59" i="1"/>
  <c r="G59" i="1"/>
  <c r="H59" i="1"/>
  <c r="I59" i="1"/>
  <c r="K59" i="1"/>
  <c r="H59" i="2"/>
  <c r="F58" i="1"/>
  <c r="J58" i="1"/>
  <c r="G58" i="1"/>
  <c r="H58" i="1"/>
  <c r="I58" i="1"/>
  <c r="K58" i="1"/>
  <c r="H58" i="2"/>
  <c r="F57" i="1"/>
  <c r="J57" i="1"/>
  <c r="G57" i="1"/>
  <c r="H57" i="1"/>
  <c r="I57" i="1"/>
  <c r="K57" i="1"/>
  <c r="H57" i="2"/>
  <c r="F56" i="1"/>
  <c r="J56" i="1"/>
  <c r="G56" i="1"/>
  <c r="H56" i="1"/>
  <c r="I56" i="1"/>
  <c r="K56" i="1"/>
  <c r="H56" i="2"/>
  <c r="F55" i="1"/>
  <c r="J55" i="1"/>
  <c r="G55" i="1"/>
  <c r="H55" i="1"/>
  <c r="I55" i="1"/>
  <c r="K55" i="1"/>
  <c r="H55" i="2"/>
  <c r="F54" i="1"/>
  <c r="J54" i="1"/>
  <c r="G54" i="1"/>
  <c r="H54" i="1"/>
  <c r="I54" i="1"/>
  <c r="K54" i="1"/>
  <c r="H54" i="2"/>
  <c r="F53" i="1"/>
  <c r="J53" i="1"/>
  <c r="G53" i="1"/>
  <c r="H53" i="1"/>
  <c r="I53" i="1"/>
  <c r="K53" i="1"/>
  <c r="H53" i="2"/>
  <c r="F52" i="1"/>
  <c r="J52" i="1"/>
  <c r="G52" i="1"/>
  <c r="H52" i="1"/>
  <c r="I52" i="1"/>
  <c r="K52" i="1"/>
  <c r="H52" i="2"/>
  <c r="F51" i="1"/>
  <c r="J51" i="1"/>
  <c r="G51" i="1"/>
  <c r="H51" i="1"/>
  <c r="I51" i="1"/>
  <c r="K51" i="1"/>
  <c r="H51" i="2"/>
  <c r="F50" i="1"/>
  <c r="J50" i="1"/>
  <c r="G50" i="1"/>
  <c r="H50" i="1"/>
  <c r="I50" i="1"/>
  <c r="K50" i="1"/>
  <c r="H50" i="2"/>
  <c r="F49" i="1"/>
  <c r="J49" i="1"/>
  <c r="G49" i="1"/>
  <c r="H49" i="1"/>
  <c r="I49" i="1"/>
  <c r="K49" i="1"/>
  <c r="H49" i="2"/>
  <c r="F48" i="1"/>
  <c r="J48" i="1"/>
  <c r="G48" i="1"/>
  <c r="H48" i="1"/>
  <c r="I48" i="1"/>
  <c r="K48" i="1"/>
  <c r="H48" i="2"/>
  <c r="F47" i="1"/>
  <c r="J47" i="1"/>
  <c r="G47" i="1"/>
  <c r="H47" i="1"/>
  <c r="I47" i="1"/>
  <c r="K47" i="1"/>
  <c r="H47" i="2"/>
  <c r="F46" i="1"/>
  <c r="J46" i="1"/>
  <c r="G46" i="1"/>
  <c r="H46" i="1"/>
  <c r="I46" i="1"/>
  <c r="K46" i="1"/>
  <c r="H46" i="2"/>
  <c r="F45" i="1"/>
  <c r="J45" i="1"/>
  <c r="G45" i="1"/>
  <c r="H45" i="1"/>
  <c r="I45" i="1"/>
  <c r="K45" i="1"/>
  <c r="H45" i="2"/>
  <c r="F44" i="1"/>
  <c r="J44" i="1"/>
  <c r="G44" i="1"/>
  <c r="H44" i="1"/>
  <c r="I44" i="1"/>
  <c r="K44" i="1"/>
  <c r="H44" i="2"/>
  <c r="F43" i="1"/>
  <c r="J43" i="1"/>
  <c r="G43" i="1"/>
  <c r="H43" i="1"/>
  <c r="I43" i="1"/>
  <c r="K43" i="1"/>
  <c r="H43" i="2"/>
  <c r="F42" i="1"/>
  <c r="J42" i="1"/>
  <c r="G42" i="1"/>
  <c r="H42" i="1"/>
  <c r="I42" i="1"/>
  <c r="K42" i="1"/>
  <c r="H42" i="2"/>
  <c r="F41" i="1"/>
  <c r="J41" i="1"/>
  <c r="G41" i="1"/>
  <c r="H41" i="1"/>
  <c r="I41" i="1"/>
  <c r="K41" i="1"/>
  <c r="H41" i="2"/>
  <c r="F40" i="1"/>
  <c r="J40" i="1"/>
  <c r="K40" i="1"/>
  <c r="H40" i="2"/>
  <c r="F39" i="1"/>
  <c r="J39" i="1"/>
  <c r="K39" i="1"/>
  <c r="H39" i="2"/>
  <c r="F38" i="1"/>
  <c r="J38" i="1"/>
  <c r="K38" i="1"/>
  <c r="H38" i="2"/>
  <c r="F37" i="1"/>
  <c r="J37" i="1"/>
  <c r="K37" i="1"/>
  <c r="H37" i="2"/>
  <c r="F36" i="1"/>
  <c r="J36" i="1"/>
  <c r="K36" i="1"/>
  <c r="H36" i="2"/>
  <c r="F35" i="1"/>
  <c r="J35" i="1"/>
  <c r="K35" i="1"/>
  <c r="H35" i="2"/>
  <c r="F34" i="1"/>
  <c r="J34" i="1"/>
  <c r="K34" i="1"/>
  <c r="H34" i="2"/>
  <c r="F33" i="1"/>
  <c r="J33" i="1"/>
  <c r="K33" i="1"/>
  <c r="H33" i="2"/>
  <c r="F32" i="1"/>
  <c r="J32" i="1"/>
  <c r="K32" i="1"/>
  <c r="H32" i="2"/>
  <c r="F31" i="1"/>
  <c r="J31" i="1"/>
  <c r="K31" i="1"/>
  <c r="H31" i="2"/>
  <c r="F30" i="1"/>
  <c r="J30" i="1"/>
  <c r="K30" i="1"/>
  <c r="H30" i="2"/>
  <c r="F29" i="1"/>
  <c r="J29" i="1"/>
  <c r="K29" i="1"/>
  <c r="H29" i="2"/>
  <c r="F28" i="1"/>
  <c r="J28" i="1"/>
  <c r="K28" i="1"/>
  <c r="H28" i="2"/>
  <c r="F27" i="1"/>
  <c r="J27" i="1"/>
  <c r="K27" i="1"/>
  <c r="H27" i="2"/>
  <c r="F26" i="1"/>
  <c r="J26" i="1"/>
  <c r="K26" i="1"/>
  <c r="H26" i="2"/>
  <c r="F25" i="1"/>
  <c r="J25" i="1"/>
  <c r="K25" i="1"/>
  <c r="H25" i="2"/>
  <c r="F24" i="1"/>
  <c r="J24" i="1"/>
  <c r="K24" i="1"/>
  <c r="H24" i="2"/>
  <c r="F23" i="1"/>
  <c r="J23" i="1"/>
  <c r="K23" i="1"/>
  <c r="H23" i="2"/>
  <c r="F22" i="1"/>
  <c r="J22" i="1"/>
  <c r="K22" i="1"/>
  <c r="H22" i="2"/>
  <c r="F21" i="1"/>
  <c r="J21" i="1"/>
  <c r="K21" i="1"/>
  <c r="H21" i="2"/>
  <c r="F20" i="1"/>
  <c r="J20" i="1"/>
  <c r="K20" i="1"/>
  <c r="H20" i="2"/>
  <c r="F19" i="1"/>
  <c r="J19" i="1"/>
  <c r="K19" i="1"/>
  <c r="H19"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5" i="2"/>
  <c r="E45" i="7"/>
  <c r="B49" i="7"/>
  <c r="C49" i="7"/>
  <c r="D49" i="7"/>
  <c r="B48" i="7"/>
  <c r="C48" i="7"/>
  <c r="D48" i="7"/>
  <c r="B47" i="7"/>
  <c r="C47" i="7"/>
  <c r="D47" i="7"/>
  <c r="B46" i="7"/>
  <c r="C46" i="7"/>
  <c r="D46" i="7"/>
  <c r="B45" i="7"/>
  <c r="C45" i="7"/>
  <c r="D45" i="7"/>
  <c r="AQ141" i="20"/>
  <c r="AD141" i="20"/>
  <c r="AE141" i="20"/>
  <c r="AF141" i="20"/>
  <c r="AG141" i="20"/>
  <c r="AI141" i="20"/>
  <c r="AH141" i="20"/>
  <c r="AK141" i="20"/>
  <c r="AJ141" i="20"/>
  <c r="AL141" i="20"/>
  <c r="AM141" i="20"/>
  <c r="AO141" i="20"/>
  <c r="AN141" i="20"/>
  <c r="Q141" i="20"/>
  <c r="R141" i="20"/>
  <c r="S141" i="20"/>
  <c r="T141" i="20"/>
  <c r="V141" i="20"/>
  <c r="U141" i="20"/>
  <c r="X141" i="20"/>
  <c r="W141" i="20"/>
  <c r="Y141" i="20"/>
  <c r="Z141" i="20"/>
  <c r="AB141" i="20"/>
  <c r="AA141" i="20"/>
  <c r="D141" i="20"/>
  <c r="E141" i="20"/>
  <c r="F141" i="20"/>
  <c r="G141" i="20"/>
  <c r="I141" i="20"/>
  <c r="H141" i="20"/>
  <c r="K141" i="20"/>
  <c r="J141" i="20"/>
  <c r="L141" i="20"/>
  <c r="M141" i="20"/>
  <c r="O141" i="20"/>
  <c r="N141" i="20"/>
  <c r="AD140" i="20"/>
  <c r="AE140" i="20"/>
  <c r="AF140" i="20"/>
  <c r="AG140" i="20"/>
  <c r="AI140" i="20"/>
  <c r="AH140" i="20"/>
  <c r="AK140" i="20"/>
  <c r="AJ140" i="20"/>
  <c r="AL140" i="20"/>
  <c r="AM140" i="20"/>
  <c r="AO140" i="20"/>
  <c r="AN140" i="20"/>
  <c r="Q140" i="20"/>
  <c r="R140" i="20"/>
  <c r="S140" i="20"/>
  <c r="T140" i="20"/>
  <c r="V140" i="20"/>
  <c r="U140" i="20"/>
  <c r="X140" i="20"/>
  <c r="W140" i="20"/>
  <c r="Y140" i="20"/>
  <c r="Z140" i="20"/>
  <c r="AB140" i="20"/>
  <c r="AA140" i="20"/>
  <c r="D140" i="20"/>
  <c r="E140" i="20"/>
  <c r="F140" i="20"/>
  <c r="G140" i="20"/>
  <c r="I140" i="20"/>
  <c r="H140" i="20"/>
  <c r="K140" i="20"/>
  <c r="J140" i="20"/>
  <c r="L140" i="20"/>
  <c r="M140" i="20"/>
  <c r="O140" i="20"/>
  <c r="N140" i="20"/>
  <c r="AD122" i="20"/>
  <c r="AE122" i="20"/>
  <c r="AF122" i="20"/>
  <c r="AG122" i="20"/>
  <c r="AI122" i="20"/>
  <c r="AH122" i="20"/>
  <c r="AK122" i="20"/>
  <c r="AJ122" i="20"/>
  <c r="AL122" i="20"/>
  <c r="AM122" i="20"/>
  <c r="AO122" i="20"/>
  <c r="AN122" i="20"/>
  <c r="AD121" i="20"/>
  <c r="AE121" i="20"/>
  <c r="AF121" i="20"/>
  <c r="AG121" i="20"/>
  <c r="AI121" i="20"/>
  <c r="AH121" i="20"/>
  <c r="AK121" i="20"/>
  <c r="AJ121" i="20"/>
  <c r="AL121" i="20"/>
  <c r="AM121" i="20"/>
  <c r="AO121" i="20"/>
  <c r="AN121" i="20"/>
  <c r="AD120" i="20"/>
  <c r="AE120" i="20"/>
  <c r="AF120" i="20"/>
  <c r="AG120" i="20"/>
  <c r="AI120" i="20"/>
  <c r="AH120" i="20"/>
  <c r="AK120" i="20"/>
  <c r="AJ120" i="20"/>
  <c r="AL120" i="20"/>
  <c r="AM120" i="20"/>
  <c r="AO120" i="20"/>
  <c r="AN120" i="20"/>
  <c r="AD119" i="20"/>
  <c r="AE119" i="20"/>
  <c r="AF119" i="20"/>
  <c r="AG119" i="20"/>
  <c r="AI119" i="20"/>
  <c r="AH119" i="20"/>
  <c r="AK119" i="20"/>
  <c r="AJ119" i="20"/>
  <c r="AL119" i="20"/>
  <c r="AM119" i="20"/>
  <c r="AO119" i="20"/>
  <c r="AN119" i="20"/>
  <c r="AD118" i="20"/>
  <c r="AE118" i="20"/>
  <c r="AF118" i="20"/>
  <c r="AG118" i="20"/>
  <c r="AI118" i="20"/>
  <c r="AH118" i="20"/>
  <c r="AK118" i="20"/>
  <c r="AJ118" i="20"/>
  <c r="AL118" i="20"/>
  <c r="AM118" i="20"/>
  <c r="AO118" i="20"/>
  <c r="AN118" i="20"/>
  <c r="AD117" i="20"/>
  <c r="AE117" i="20"/>
  <c r="AF117" i="20"/>
  <c r="AG117" i="20"/>
  <c r="AI117" i="20"/>
  <c r="AH117" i="20"/>
  <c r="AK117" i="20"/>
  <c r="AJ117" i="20"/>
  <c r="AL117" i="20"/>
  <c r="AM117" i="20"/>
  <c r="AO117" i="20"/>
  <c r="AN117" i="20"/>
  <c r="AD116" i="20"/>
  <c r="AE116" i="20"/>
  <c r="AF116" i="20"/>
  <c r="AG116" i="20"/>
  <c r="AI116" i="20"/>
  <c r="AH116" i="20"/>
  <c r="AK116" i="20"/>
  <c r="AJ116" i="20"/>
  <c r="AL116" i="20"/>
  <c r="AM116" i="20"/>
  <c r="AO116" i="20"/>
  <c r="AN116" i="20"/>
  <c r="AD115" i="20"/>
  <c r="AE115" i="20"/>
  <c r="AF115" i="20"/>
  <c r="AG115" i="20"/>
  <c r="AI115" i="20"/>
  <c r="AH115" i="20"/>
  <c r="AK115" i="20"/>
  <c r="AJ115" i="20"/>
  <c r="AL115" i="20"/>
  <c r="AM115" i="20"/>
  <c r="AO115" i="20"/>
  <c r="AN115" i="20"/>
  <c r="AD114" i="20"/>
  <c r="AE114" i="20"/>
  <c r="AF114" i="20"/>
  <c r="AG114" i="20"/>
  <c r="AI114" i="20"/>
  <c r="AH114" i="20"/>
  <c r="AK114" i="20"/>
  <c r="AJ114" i="20"/>
  <c r="AL114" i="20"/>
  <c r="AM114" i="20"/>
  <c r="AO114" i="20"/>
  <c r="AN114" i="20"/>
  <c r="AD113" i="20"/>
  <c r="AE113" i="20"/>
  <c r="AF113" i="20"/>
  <c r="AG113" i="20"/>
  <c r="AI113" i="20"/>
  <c r="AH113" i="20"/>
  <c r="AK113" i="20"/>
  <c r="AJ113" i="20"/>
  <c r="AL113" i="20"/>
  <c r="AM113" i="20"/>
  <c r="AO113" i="20"/>
  <c r="AN113" i="20"/>
  <c r="AD112" i="20"/>
  <c r="AE112" i="20"/>
  <c r="AF112" i="20"/>
  <c r="AG112" i="20"/>
  <c r="AI112" i="20"/>
  <c r="AH112" i="20"/>
  <c r="AK112" i="20"/>
  <c r="AJ112" i="20"/>
  <c r="AL112" i="20"/>
  <c r="AM112" i="20"/>
  <c r="AO112" i="20"/>
  <c r="AN112" i="20"/>
  <c r="AD111" i="20"/>
  <c r="AE111" i="20"/>
  <c r="AF111" i="20"/>
  <c r="AG111" i="20"/>
  <c r="AI111" i="20"/>
  <c r="AH111" i="20"/>
  <c r="AK111" i="20"/>
  <c r="AJ111" i="20"/>
  <c r="AL111" i="20"/>
  <c r="AM111" i="20"/>
  <c r="AO111" i="20"/>
  <c r="AN111" i="20"/>
  <c r="AD110" i="20"/>
  <c r="AE110" i="20"/>
  <c r="AF110" i="20"/>
  <c r="AG110" i="20"/>
  <c r="AI110" i="20"/>
  <c r="AH110" i="20"/>
  <c r="AK110" i="20"/>
  <c r="AJ110" i="20"/>
  <c r="AL110" i="20"/>
  <c r="AM110" i="20"/>
  <c r="AO110" i="20"/>
  <c r="AN110" i="20"/>
  <c r="AD109" i="20"/>
  <c r="AE109" i="20"/>
  <c r="AF109" i="20"/>
  <c r="AG109" i="20"/>
  <c r="AI109" i="20"/>
  <c r="AH109" i="20"/>
  <c r="AK109" i="20"/>
  <c r="AJ109" i="20"/>
  <c r="AL109" i="20"/>
  <c r="AM109" i="20"/>
  <c r="AO109" i="20"/>
  <c r="AN109" i="20"/>
  <c r="AD108" i="20"/>
  <c r="AE108" i="20"/>
  <c r="AF108" i="20"/>
  <c r="AG108" i="20"/>
  <c r="AI108" i="20"/>
  <c r="AH108" i="20"/>
  <c r="AK108" i="20"/>
  <c r="AJ108" i="20"/>
  <c r="AL108" i="20"/>
  <c r="AM108" i="20"/>
  <c r="AO108" i="20"/>
  <c r="AN108" i="20"/>
  <c r="AD107" i="20"/>
  <c r="AE107" i="20"/>
  <c r="AF107" i="20"/>
  <c r="AG107" i="20"/>
  <c r="AI107" i="20"/>
  <c r="AH107" i="20"/>
  <c r="AK107" i="20"/>
  <c r="AJ107" i="20"/>
  <c r="AL107" i="20"/>
  <c r="AM107" i="20"/>
  <c r="AO107" i="20"/>
  <c r="AN107" i="20"/>
  <c r="AD106" i="20"/>
  <c r="AE106" i="20"/>
  <c r="AF106" i="20"/>
  <c r="AG106" i="20"/>
  <c r="AI106" i="20"/>
  <c r="AH106" i="20"/>
  <c r="AK106" i="20"/>
  <c r="AJ106" i="20"/>
  <c r="AL106" i="20"/>
  <c r="AM106" i="20"/>
  <c r="AO106" i="20"/>
  <c r="AN106" i="20"/>
  <c r="AD105" i="20"/>
  <c r="AE105" i="20"/>
  <c r="AF105" i="20"/>
  <c r="AG105" i="20"/>
  <c r="AI105" i="20"/>
  <c r="AH105" i="20"/>
  <c r="AK105" i="20"/>
  <c r="AJ105" i="20"/>
  <c r="AL105" i="20"/>
  <c r="AM105" i="20"/>
  <c r="AO105" i="20"/>
  <c r="AN105" i="20"/>
  <c r="AD104" i="20"/>
  <c r="AE104" i="20"/>
  <c r="AF104" i="20"/>
  <c r="AG104" i="20"/>
  <c r="AI104" i="20"/>
  <c r="AH104" i="20"/>
  <c r="AK104" i="20"/>
  <c r="AJ104" i="20"/>
  <c r="AL104" i="20"/>
  <c r="AM104" i="20"/>
  <c r="AO104" i="20"/>
  <c r="AN104" i="20"/>
  <c r="AD103" i="20"/>
  <c r="AE103" i="20"/>
  <c r="AF103" i="20"/>
  <c r="AG103" i="20"/>
  <c r="AI103" i="20"/>
  <c r="AH103" i="20"/>
  <c r="AK103" i="20"/>
  <c r="AJ103" i="20"/>
  <c r="AL103" i="20"/>
  <c r="AM103" i="20"/>
  <c r="AO103" i="20"/>
  <c r="AN103" i="20"/>
  <c r="AD102" i="20"/>
  <c r="AE102" i="20"/>
  <c r="AF102" i="20"/>
  <c r="AG102" i="20"/>
  <c r="AI102" i="20"/>
  <c r="AH102" i="20"/>
  <c r="AK102" i="20"/>
  <c r="AJ102" i="20"/>
  <c r="AL102" i="20"/>
  <c r="AM102" i="20"/>
  <c r="AO102" i="20"/>
  <c r="AN102" i="20"/>
  <c r="AD101" i="20"/>
  <c r="AE101" i="20"/>
  <c r="AF101" i="20"/>
  <c r="AG101" i="20"/>
  <c r="AI101" i="20"/>
  <c r="AH101" i="20"/>
  <c r="AK101" i="20"/>
  <c r="AJ101" i="20"/>
  <c r="AL101" i="20"/>
  <c r="AM101" i="20"/>
  <c r="AO101" i="20"/>
  <c r="AN101" i="20"/>
  <c r="AD100" i="20"/>
  <c r="AE100" i="20"/>
  <c r="AF100" i="20"/>
  <c r="AG100" i="20"/>
  <c r="AI100" i="20"/>
  <c r="AH100" i="20"/>
  <c r="AK100" i="20"/>
  <c r="AJ100" i="20"/>
  <c r="AL100" i="20"/>
  <c r="AM100" i="20"/>
  <c r="AO100" i="20"/>
  <c r="AN100" i="20"/>
  <c r="AD99" i="20"/>
  <c r="AE99" i="20"/>
  <c r="AF99" i="20"/>
  <c r="AG99" i="20"/>
  <c r="AI99" i="20"/>
  <c r="AH99" i="20"/>
  <c r="AK99" i="20"/>
  <c r="AJ99" i="20"/>
  <c r="AL99" i="20"/>
  <c r="AM99" i="20"/>
  <c r="AO99" i="20"/>
  <c r="AN99" i="20"/>
  <c r="AD98" i="20"/>
  <c r="AE98" i="20"/>
  <c r="AF98" i="20"/>
  <c r="AG98" i="20"/>
  <c r="AI98" i="20"/>
  <c r="AH98" i="20"/>
  <c r="AK98" i="20"/>
  <c r="AJ98" i="20"/>
  <c r="AL98" i="20"/>
  <c r="AM98" i="20"/>
  <c r="AO98" i="20"/>
  <c r="AN98" i="20"/>
  <c r="AD97" i="20"/>
  <c r="AE97" i="20"/>
  <c r="AF97" i="20"/>
  <c r="AG97" i="20"/>
  <c r="AI97" i="20"/>
  <c r="AH97" i="20"/>
  <c r="AK97" i="20"/>
  <c r="AJ97" i="20"/>
  <c r="AL97" i="20"/>
  <c r="AM97" i="20"/>
  <c r="AO97" i="20"/>
  <c r="AN97" i="20"/>
  <c r="AD96" i="20"/>
  <c r="AE96" i="20"/>
  <c r="AF96" i="20"/>
  <c r="AG96" i="20"/>
  <c r="AI96" i="20"/>
  <c r="AH96" i="20"/>
  <c r="AK96" i="20"/>
  <c r="AJ96" i="20"/>
  <c r="AL96" i="20"/>
  <c r="AM96" i="20"/>
  <c r="AO96" i="20"/>
  <c r="AN96" i="20"/>
  <c r="AD95" i="20"/>
  <c r="AE95" i="20"/>
  <c r="AF95" i="20"/>
  <c r="AG95" i="20"/>
  <c r="AI95" i="20"/>
  <c r="AH95" i="20"/>
  <c r="AK95" i="20"/>
  <c r="AJ95" i="20"/>
  <c r="AL95" i="20"/>
  <c r="AM95" i="20"/>
  <c r="AO95" i="20"/>
  <c r="AN95" i="20"/>
  <c r="AD94" i="20"/>
  <c r="AE94" i="20"/>
  <c r="AF94" i="20"/>
  <c r="AG94" i="20"/>
  <c r="AI94" i="20"/>
  <c r="AH94" i="20"/>
  <c r="AK94" i="20"/>
  <c r="AJ94" i="20"/>
  <c r="AL94" i="20"/>
  <c r="AM94" i="20"/>
  <c r="AO94" i="20"/>
  <c r="AN94" i="20"/>
  <c r="AD93" i="20"/>
  <c r="AE93" i="20"/>
  <c r="AF93" i="20"/>
  <c r="AG93" i="20"/>
  <c r="AI93" i="20"/>
  <c r="AH93" i="20"/>
  <c r="AK93" i="20"/>
  <c r="AJ93" i="20"/>
  <c r="AL93" i="20"/>
  <c r="AM93" i="20"/>
  <c r="AO93" i="20"/>
  <c r="AN93" i="20"/>
  <c r="AD92" i="20"/>
  <c r="AE92" i="20"/>
  <c r="AF92" i="20"/>
  <c r="AG92" i="20"/>
  <c r="AI92" i="20"/>
  <c r="AH92" i="20"/>
  <c r="AK92" i="20"/>
  <c r="AJ92" i="20"/>
  <c r="AL92" i="20"/>
  <c r="AM92" i="20"/>
  <c r="AO92" i="20"/>
  <c r="AN92" i="20"/>
  <c r="AD91" i="20"/>
  <c r="AE91" i="20"/>
  <c r="AF91" i="20"/>
  <c r="AG91" i="20"/>
  <c r="AI91" i="20"/>
  <c r="AH91" i="20"/>
  <c r="AK91" i="20"/>
  <c r="AJ91" i="20"/>
  <c r="AL91" i="20"/>
  <c r="AM91" i="20"/>
  <c r="AO91" i="20"/>
  <c r="AN91" i="20"/>
  <c r="AD90" i="20"/>
  <c r="AE90" i="20"/>
  <c r="AF90" i="20"/>
  <c r="AG90" i="20"/>
  <c r="AI90" i="20"/>
  <c r="AH90" i="20"/>
  <c r="AK90" i="20"/>
  <c r="AJ90" i="20"/>
  <c r="AL90" i="20"/>
  <c r="AM90" i="20"/>
  <c r="AO90" i="20"/>
  <c r="AN90" i="20"/>
  <c r="AD89" i="20"/>
  <c r="AE89" i="20"/>
  <c r="AF89" i="20"/>
  <c r="AG89" i="20"/>
  <c r="AI89" i="20"/>
  <c r="AH89" i="20"/>
  <c r="AK89" i="20"/>
  <c r="AJ89" i="20"/>
  <c r="AL89" i="20"/>
  <c r="AM89" i="20"/>
  <c r="AO89" i="20"/>
  <c r="AN89" i="20"/>
  <c r="AD88" i="20"/>
  <c r="AE88" i="20"/>
  <c r="AF88" i="20"/>
  <c r="AG88" i="20"/>
  <c r="AI88" i="20"/>
  <c r="AH88" i="20"/>
  <c r="AK88" i="20"/>
  <c r="AJ88" i="20"/>
  <c r="AL88" i="20"/>
  <c r="AM88" i="20"/>
  <c r="AO88" i="20"/>
  <c r="AN88" i="20"/>
  <c r="AD87" i="20"/>
  <c r="AE87" i="20"/>
  <c r="AF87" i="20"/>
  <c r="AG87" i="20"/>
  <c r="AI87" i="20"/>
  <c r="AH87" i="20"/>
  <c r="AK87" i="20"/>
  <c r="AJ87" i="20"/>
  <c r="AL87" i="20"/>
  <c r="AM87" i="20"/>
  <c r="AO87" i="20"/>
  <c r="AN87" i="20"/>
  <c r="AD86" i="20"/>
  <c r="AE86" i="20"/>
  <c r="AF86" i="20"/>
  <c r="AG86" i="20"/>
  <c r="AI86" i="20"/>
  <c r="AH86" i="20"/>
  <c r="AK86" i="20"/>
  <c r="AJ86" i="20"/>
  <c r="AL86" i="20"/>
  <c r="AM86" i="20"/>
  <c r="AO86" i="20"/>
  <c r="AN86" i="20"/>
  <c r="AD85" i="20"/>
  <c r="AE85" i="20"/>
  <c r="AF85" i="20"/>
  <c r="AG85" i="20"/>
  <c r="AI85" i="20"/>
  <c r="AH85" i="20"/>
  <c r="AK85" i="20"/>
  <c r="AJ85" i="20"/>
  <c r="AL85" i="20"/>
  <c r="AM85" i="20"/>
  <c r="AO85" i="20"/>
  <c r="AN85" i="20"/>
  <c r="AD84" i="20"/>
  <c r="AE84" i="20"/>
  <c r="AF84" i="20"/>
  <c r="AG84" i="20"/>
  <c r="AI84" i="20"/>
  <c r="AH84" i="20"/>
  <c r="AK84" i="20"/>
  <c r="AJ84" i="20"/>
  <c r="AL84" i="20"/>
  <c r="AM84" i="20"/>
  <c r="AO84" i="20"/>
  <c r="AN84" i="20"/>
  <c r="AD83" i="20"/>
  <c r="AE83" i="20"/>
  <c r="AF83" i="20"/>
  <c r="AG83" i="20"/>
  <c r="AI83" i="20"/>
  <c r="AH83" i="20"/>
  <c r="AK83" i="20"/>
  <c r="AJ83" i="20"/>
  <c r="AL83" i="20"/>
  <c r="AM83" i="20"/>
  <c r="AO83" i="20"/>
  <c r="AN83" i="20"/>
  <c r="AD82" i="20"/>
  <c r="AE82" i="20"/>
  <c r="AF82" i="20"/>
  <c r="AG82" i="20"/>
  <c r="AI82" i="20"/>
  <c r="AH82" i="20"/>
  <c r="AK82" i="20"/>
  <c r="AJ82" i="20"/>
  <c r="AL82" i="20"/>
  <c r="AM82" i="20"/>
  <c r="AO82" i="20"/>
  <c r="AN82" i="20"/>
  <c r="AD81" i="20"/>
  <c r="AE81" i="20"/>
  <c r="AF81" i="20"/>
  <c r="AG81" i="20"/>
  <c r="AI81" i="20"/>
  <c r="AH81" i="20"/>
  <c r="AK81" i="20"/>
  <c r="AJ81" i="20"/>
  <c r="AL81" i="20"/>
  <c r="AM81" i="20"/>
  <c r="AO81" i="20"/>
  <c r="AN81" i="20"/>
  <c r="AD80" i="20"/>
  <c r="AE80" i="20"/>
  <c r="AF80" i="20"/>
  <c r="AG80" i="20"/>
  <c r="AI80" i="20"/>
  <c r="AH80" i="20"/>
  <c r="AK80" i="20"/>
  <c r="AJ80" i="20"/>
  <c r="AL80" i="20"/>
  <c r="AM80" i="20"/>
  <c r="AO80" i="20"/>
  <c r="AN80" i="20"/>
  <c r="AD79" i="20"/>
  <c r="AE79" i="20"/>
  <c r="AF79" i="20"/>
  <c r="AG79" i="20"/>
  <c r="AI79" i="20"/>
  <c r="AH79" i="20"/>
  <c r="AK79" i="20"/>
  <c r="AJ79" i="20"/>
  <c r="AL79" i="20"/>
  <c r="AM79" i="20"/>
  <c r="AO79" i="20"/>
  <c r="AN79" i="20"/>
  <c r="AD78" i="20"/>
  <c r="AE78" i="20"/>
  <c r="AF78" i="20"/>
  <c r="AG78" i="20"/>
  <c r="AI78" i="20"/>
  <c r="AH78" i="20"/>
  <c r="AK78" i="20"/>
  <c r="AJ78" i="20"/>
  <c r="AL78" i="20"/>
  <c r="AM78" i="20"/>
  <c r="AO78" i="20"/>
  <c r="AN78" i="20"/>
  <c r="AD77" i="20"/>
  <c r="AE77" i="20"/>
  <c r="AF77" i="20"/>
  <c r="AG77" i="20"/>
  <c r="AI77" i="20"/>
  <c r="AH77" i="20"/>
  <c r="AK77" i="20"/>
  <c r="AJ77" i="20"/>
  <c r="AL77" i="20"/>
  <c r="AM77" i="20"/>
  <c r="AO77" i="20"/>
  <c r="AN77" i="20"/>
  <c r="AD76" i="20"/>
  <c r="AE76" i="20"/>
  <c r="AF76" i="20"/>
  <c r="AG76" i="20"/>
  <c r="AI76" i="20"/>
  <c r="AH76" i="20"/>
  <c r="AK76" i="20"/>
  <c r="AJ76" i="20"/>
  <c r="AL76" i="20"/>
  <c r="AM76" i="20"/>
  <c r="AO76" i="20"/>
  <c r="AN76" i="20"/>
  <c r="AD75" i="20"/>
  <c r="AE75" i="20"/>
  <c r="AF75" i="20"/>
  <c r="AG75" i="20"/>
  <c r="AI75" i="20"/>
  <c r="AH75" i="20"/>
  <c r="AK75" i="20"/>
  <c r="AJ75" i="20"/>
  <c r="AL75" i="20"/>
  <c r="AM75" i="20"/>
  <c r="AO75" i="20"/>
  <c r="AN75" i="20"/>
  <c r="AD74" i="20"/>
  <c r="AE74" i="20"/>
  <c r="AF74" i="20"/>
  <c r="AG74" i="20"/>
  <c r="AI74" i="20"/>
  <c r="AH74" i="20"/>
  <c r="AK74" i="20"/>
  <c r="AJ74" i="20"/>
  <c r="AL74" i="20"/>
  <c r="AM74" i="20"/>
  <c r="AO74" i="20"/>
  <c r="AN74" i="20"/>
  <c r="AD73" i="20"/>
  <c r="AE73" i="20"/>
  <c r="AF73" i="20"/>
  <c r="AG73" i="20"/>
  <c r="AI73" i="20"/>
  <c r="AH73" i="20"/>
  <c r="AK73" i="20"/>
  <c r="AJ73" i="20"/>
  <c r="AL73" i="20"/>
  <c r="AM73" i="20"/>
  <c r="AO73" i="20"/>
  <c r="AN73" i="20"/>
  <c r="AD72" i="20"/>
  <c r="AE72" i="20"/>
  <c r="AF72" i="20"/>
  <c r="AG72" i="20"/>
  <c r="AI72" i="20"/>
  <c r="AH72" i="20"/>
  <c r="AK72" i="20"/>
  <c r="AJ72" i="20"/>
  <c r="AL72" i="20"/>
  <c r="AM72" i="20"/>
  <c r="AO72" i="20"/>
  <c r="AN72" i="20"/>
  <c r="AD71" i="20"/>
  <c r="AE71" i="20"/>
  <c r="AF71" i="20"/>
  <c r="AG71" i="20"/>
  <c r="AI71" i="20"/>
  <c r="AH71" i="20"/>
  <c r="AK71" i="20"/>
  <c r="AJ71" i="20"/>
  <c r="AL71" i="20"/>
  <c r="AM71" i="20"/>
  <c r="AO71" i="20"/>
  <c r="AN71" i="20"/>
  <c r="AD70" i="20"/>
  <c r="AE70" i="20"/>
  <c r="AF70" i="20"/>
  <c r="AG70" i="20"/>
  <c r="AI70" i="20"/>
  <c r="AH70" i="20"/>
  <c r="AK70" i="20"/>
  <c r="AJ70" i="20"/>
  <c r="AL70" i="20"/>
  <c r="AM70" i="20"/>
  <c r="AO70" i="20"/>
  <c r="AN70" i="20"/>
  <c r="AD69" i="20"/>
  <c r="AE69" i="20"/>
  <c r="AF69" i="20"/>
  <c r="AG69" i="20"/>
  <c r="AI69" i="20"/>
  <c r="AH69" i="20"/>
  <c r="AK69" i="20"/>
  <c r="AJ69" i="20"/>
  <c r="AL69" i="20"/>
  <c r="AM69" i="20"/>
  <c r="AO69" i="20"/>
  <c r="AN69" i="20"/>
  <c r="AD68" i="20"/>
  <c r="AE68" i="20"/>
  <c r="AF68" i="20"/>
  <c r="AG68" i="20"/>
  <c r="AI68" i="20"/>
  <c r="AH68" i="20"/>
  <c r="AK68" i="20"/>
  <c r="AJ68" i="20"/>
  <c r="AL68" i="20"/>
  <c r="AM68" i="20"/>
  <c r="AO68" i="20"/>
  <c r="AN68" i="20"/>
  <c r="AD67" i="20"/>
  <c r="AE67" i="20"/>
  <c r="AF67" i="20"/>
  <c r="AG67" i="20"/>
  <c r="AI67" i="20"/>
  <c r="AH67" i="20"/>
  <c r="AK67" i="20"/>
  <c r="AJ67" i="20"/>
  <c r="AL67" i="20"/>
  <c r="AM67" i="20"/>
  <c r="AO67" i="20"/>
  <c r="AN67" i="20"/>
  <c r="AD66" i="20"/>
  <c r="AE66" i="20"/>
  <c r="AF66" i="20"/>
  <c r="AG66" i="20"/>
  <c r="AI66" i="20"/>
  <c r="AH66" i="20"/>
  <c r="AK66" i="20"/>
  <c r="AJ66" i="20"/>
  <c r="AL66" i="20"/>
  <c r="AM66" i="20"/>
  <c r="AO66" i="20"/>
  <c r="AN66" i="20"/>
  <c r="AD65" i="20"/>
  <c r="AE65" i="20"/>
  <c r="AF65" i="20"/>
  <c r="AG65" i="20"/>
  <c r="AI65" i="20"/>
  <c r="AH65" i="20"/>
  <c r="AK65" i="20"/>
  <c r="AJ65" i="20"/>
  <c r="AL65" i="20"/>
  <c r="AM65" i="20"/>
  <c r="AO65" i="20"/>
  <c r="AN65" i="20"/>
  <c r="AD64" i="20"/>
  <c r="AE64" i="20"/>
  <c r="AF64" i="20"/>
  <c r="AG64" i="20"/>
  <c r="AI64" i="20"/>
  <c r="AH64" i="20"/>
  <c r="AK64" i="20"/>
  <c r="AJ64" i="20"/>
  <c r="AL64" i="20"/>
  <c r="AM64" i="20"/>
  <c r="AO64" i="20"/>
  <c r="AN64" i="20"/>
  <c r="AD63" i="20"/>
  <c r="AE63" i="20"/>
  <c r="AF63" i="20"/>
  <c r="AG63" i="20"/>
  <c r="AI63" i="20"/>
  <c r="AH63" i="20"/>
  <c r="AK63" i="20"/>
  <c r="AJ63" i="20"/>
  <c r="AL63" i="20"/>
  <c r="AM63" i="20"/>
  <c r="AO63" i="20"/>
  <c r="AN63" i="20"/>
  <c r="AD62" i="20"/>
  <c r="AE62" i="20"/>
  <c r="AF62" i="20"/>
  <c r="AG62" i="20"/>
  <c r="AI62" i="20"/>
  <c r="AH62" i="20"/>
  <c r="AK62" i="20"/>
  <c r="AJ62" i="20"/>
  <c r="AL62" i="20"/>
  <c r="AM62" i="20"/>
  <c r="AO62" i="20"/>
  <c r="AN62" i="20"/>
  <c r="AD61" i="20"/>
  <c r="AE61" i="20"/>
  <c r="AF61" i="20"/>
  <c r="AG61" i="20"/>
  <c r="AI61" i="20"/>
  <c r="AH61" i="20"/>
  <c r="AK61" i="20"/>
  <c r="AJ61" i="20"/>
  <c r="AL61" i="20"/>
  <c r="AM61" i="20"/>
  <c r="AO61" i="20"/>
  <c r="AN61" i="20"/>
  <c r="AD60" i="20"/>
  <c r="AE60" i="20"/>
  <c r="AF60" i="20"/>
  <c r="AG60" i="20"/>
  <c r="AI60" i="20"/>
  <c r="AH60" i="20"/>
  <c r="AK60" i="20"/>
  <c r="AJ60" i="20"/>
  <c r="AL60" i="20"/>
  <c r="AM60" i="20"/>
  <c r="AO60" i="20"/>
  <c r="AN60" i="20"/>
  <c r="AD59" i="20"/>
  <c r="AE59" i="20"/>
  <c r="AF59" i="20"/>
  <c r="AG59" i="20"/>
  <c r="AI59" i="20"/>
  <c r="AH59" i="20"/>
  <c r="AK59" i="20"/>
  <c r="AJ59" i="20"/>
  <c r="AL59" i="20"/>
  <c r="AM59" i="20"/>
  <c r="AO59" i="20"/>
  <c r="AN59" i="20"/>
  <c r="AD58" i="20"/>
  <c r="AE58" i="20"/>
  <c r="AF58" i="20"/>
  <c r="AG58" i="20"/>
  <c r="AI58" i="20"/>
  <c r="AH58" i="20"/>
  <c r="AK58" i="20"/>
  <c r="AJ58" i="20"/>
  <c r="AL58" i="20"/>
  <c r="AM58" i="20"/>
  <c r="AO58" i="20"/>
  <c r="AN58" i="20"/>
  <c r="AD57" i="20"/>
  <c r="AE57" i="20"/>
  <c r="AF57" i="20"/>
  <c r="AG57" i="20"/>
  <c r="AI57" i="20"/>
  <c r="AH57" i="20"/>
  <c r="AK57" i="20"/>
  <c r="AJ57" i="20"/>
  <c r="AL57" i="20"/>
  <c r="AM57" i="20"/>
  <c r="AO57" i="20"/>
  <c r="AN57" i="20"/>
  <c r="AD56" i="20"/>
  <c r="AE56" i="20"/>
  <c r="AF56" i="20"/>
  <c r="AG56" i="20"/>
  <c r="AI56" i="20"/>
  <c r="AH56" i="20"/>
  <c r="AK56" i="20"/>
  <c r="AJ56" i="20"/>
  <c r="AL56" i="20"/>
  <c r="AM56" i="20"/>
  <c r="AO56" i="20"/>
  <c r="AN56" i="20"/>
  <c r="AD55" i="20"/>
  <c r="AE55" i="20"/>
  <c r="AF55" i="20"/>
  <c r="AG55" i="20"/>
  <c r="AI55" i="20"/>
  <c r="AH55" i="20"/>
  <c r="AK55" i="20"/>
  <c r="AJ55" i="20"/>
  <c r="AL55" i="20"/>
  <c r="AM55" i="20"/>
  <c r="AO55" i="20"/>
  <c r="AN55" i="20"/>
  <c r="AD54" i="20"/>
  <c r="AE54" i="20"/>
  <c r="AF54" i="20"/>
  <c r="AG54" i="20"/>
  <c r="AI54" i="20"/>
  <c r="AH54" i="20"/>
  <c r="AK54" i="20"/>
  <c r="AJ54" i="20"/>
  <c r="AL54" i="20"/>
  <c r="AM54" i="20"/>
  <c r="AO54" i="20"/>
  <c r="AN54" i="20"/>
  <c r="AD53" i="20"/>
  <c r="AE53" i="20"/>
  <c r="AF53" i="20"/>
  <c r="AG53" i="20"/>
  <c r="AI53" i="20"/>
  <c r="AH53" i="20"/>
  <c r="AK53" i="20"/>
  <c r="AJ53" i="20"/>
  <c r="AL53" i="20"/>
  <c r="AM53" i="20"/>
  <c r="AO53" i="20"/>
  <c r="AN53" i="20"/>
  <c r="AD52" i="20"/>
  <c r="AE52" i="20"/>
  <c r="AF52" i="20"/>
  <c r="AG52" i="20"/>
  <c r="AI52" i="20"/>
  <c r="AH52" i="20"/>
  <c r="AK52" i="20"/>
  <c r="AJ52" i="20"/>
  <c r="AL52" i="20"/>
  <c r="AM52" i="20"/>
  <c r="AO52" i="20"/>
  <c r="AN52" i="20"/>
  <c r="AD51" i="20"/>
  <c r="AE51" i="20"/>
  <c r="AF51" i="20"/>
  <c r="AG51" i="20"/>
  <c r="AI51" i="20"/>
  <c r="AH51" i="20"/>
  <c r="AK51" i="20"/>
  <c r="AJ51" i="20"/>
  <c r="AL51" i="20"/>
  <c r="AM51" i="20"/>
  <c r="AO51" i="20"/>
  <c r="AN51" i="20"/>
  <c r="AD50" i="20"/>
  <c r="AE50" i="20"/>
  <c r="AF50" i="20"/>
  <c r="AG50" i="20"/>
  <c r="AI50" i="20"/>
  <c r="AH50" i="20"/>
  <c r="AK50" i="20"/>
  <c r="AJ50" i="20"/>
  <c r="AL50" i="20"/>
  <c r="AM50" i="20"/>
  <c r="AO50" i="20"/>
  <c r="AN50" i="20"/>
  <c r="AD49" i="20"/>
  <c r="AE49" i="20"/>
  <c r="AF49" i="20"/>
  <c r="AG49" i="20"/>
  <c r="AI49" i="20"/>
  <c r="AH49" i="20"/>
  <c r="AK49" i="20"/>
  <c r="AJ49" i="20"/>
  <c r="AL49" i="20"/>
  <c r="AM49" i="20"/>
  <c r="AO49" i="20"/>
  <c r="AN49" i="20"/>
  <c r="AD48" i="20"/>
  <c r="AE48" i="20"/>
  <c r="AF48" i="20"/>
  <c r="AG48" i="20"/>
  <c r="AI48" i="20"/>
  <c r="AH48" i="20"/>
  <c r="AK48" i="20"/>
  <c r="AJ48" i="20"/>
  <c r="AL48" i="20"/>
  <c r="AM48" i="20"/>
  <c r="AO48" i="20"/>
  <c r="AN48" i="20"/>
  <c r="AD47" i="20"/>
  <c r="AE47" i="20"/>
  <c r="AF47" i="20"/>
  <c r="AG47" i="20"/>
  <c r="AI47" i="20"/>
  <c r="AH47" i="20"/>
  <c r="AK47" i="20"/>
  <c r="AJ47" i="20"/>
  <c r="AL47" i="20"/>
  <c r="AM47" i="20"/>
  <c r="AO47" i="20"/>
  <c r="AN47" i="20"/>
  <c r="AD46" i="20"/>
  <c r="AE46" i="20"/>
  <c r="AF46" i="20"/>
  <c r="AG46" i="20"/>
  <c r="AI46" i="20"/>
  <c r="AH46" i="20"/>
  <c r="AK46" i="20"/>
  <c r="AJ46" i="20"/>
  <c r="AL46" i="20"/>
  <c r="AM46" i="20"/>
  <c r="AO46" i="20"/>
  <c r="AN46" i="20"/>
  <c r="AD45" i="20"/>
  <c r="AE45" i="20"/>
  <c r="AF45" i="20"/>
  <c r="AG45" i="20"/>
  <c r="AI45" i="20"/>
  <c r="AH45" i="20"/>
  <c r="AK45" i="20"/>
  <c r="AJ45" i="20"/>
  <c r="AL45" i="20"/>
  <c r="AM45" i="20"/>
  <c r="AO45" i="20"/>
  <c r="AN45" i="20"/>
  <c r="AD44" i="20"/>
  <c r="AE44" i="20"/>
  <c r="AF44" i="20"/>
  <c r="AG44" i="20"/>
  <c r="AI44" i="20"/>
  <c r="AH44" i="20"/>
  <c r="AK44" i="20"/>
  <c r="AJ44" i="20"/>
  <c r="AL44" i="20"/>
  <c r="AM44" i="20"/>
  <c r="AO44" i="20"/>
  <c r="AN44" i="20"/>
  <c r="AD43" i="20"/>
  <c r="AE43" i="20"/>
  <c r="AF43" i="20"/>
  <c r="AG43" i="20"/>
  <c r="AI43" i="20"/>
  <c r="AH43" i="20"/>
  <c r="AK43" i="20"/>
  <c r="AJ43" i="20"/>
  <c r="AL43" i="20"/>
  <c r="AM43" i="20"/>
  <c r="AO43" i="20"/>
  <c r="AN43" i="20"/>
  <c r="AD42" i="20"/>
  <c r="AE42" i="20"/>
  <c r="AF42" i="20"/>
  <c r="AG42" i="20"/>
  <c r="AI42" i="20"/>
  <c r="AH42" i="20"/>
  <c r="AK42" i="20"/>
  <c r="AJ42" i="20"/>
  <c r="AL42" i="20"/>
  <c r="AM42" i="20"/>
  <c r="AO42" i="20"/>
  <c r="AN42" i="20"/>
  <c r="AD41" i="20"/>
  <c r="AE41" i="20"/>
  <c r="AF41" i="20"/>
  <c r="AG41" i="20"/>
  <c r="AI41" i="20"/>
  <c r="AH41" i="20"/>
  <c r="AK41" i="20"/>
  <c r="AJ41" i="20"/>
  <c r="AL41" i="20"/>
  <c r="AM41" i="20"/>
  <c r="AO41" i="20"/>
  <c r="AN41" i="20"/>
  <c r="AD40" i="20"/>
  <c r="AE40" i="20"/>
  <c r="AF40" i="20"/>
  <c r="AG40" i="20"/>
  <c r="AI40" i="20"/>
  <c r="AH40" i="20"/>
  <c r="AK40" i="20"/>
  <c r="AJ40" i="20"/>
  <c r="AL40" i="20"/>
  <c r="AM40" i="20"/>
  <c r="AO40" i="20"/>
  <c r="AN40" i="20"/>
  <c r="AD39" i="20"/>
  <c r="AE39" i="20"/>
  <c r="AF39" i="20"/>
  <c r="AG39" i="20"/>
  <c r="AI39" i="20"/>
  <c r="AH39" i="20"/>
  <c r="AK39" i="20"/>
  <c r="AJ39" i="20"/>
  <c r="AL39" i="20"/>
  <c r="AM39" i="20"/>
  <c r="AO39" i="20"/>
  <c r="AN39" i="20"/>
  <c r="AD38" i="20"/>
  <c r="AE38" i="20"/>
  <c r="AF38" i="20"/>
  <c r="AG38" i="20"/>
  <c r="AI38" i="20"/>
  <c r="AH38" i="20"/>
  <c r="AK38" i="20"/>
  <c r="AJ38" i="20"/>
  <c r="AL38" i="20"/>
  <c r="AM38" i="20"/>
  <c r="AO38" i="20"/>
  <c r="AN38" i="20"/>
  <c r="AD37" i="20"/>
  <c r="AE37" i="20"/>
  <c r="AF37" i="20"/>
  <c r="AG37" i="20"/>
  <c r="AI37" i="20"/>
  <c r="AH37" i="20"/>
  <c r="AK37" i="20"/>
  <c r="AJ37" i="20"/>
  <c r="AL37" i="20"/>
  <c r="AM37" i="20"/>
  <c r="AO37" i="20"/>
  <c r="AN37" i="20"/>
  <c r="AD36" i="20"/>
  <c r="AE36" i="20"/>
  <c r="AF36" i="20"/>
  <c r="AG36" i="20"/>
  <c r="AI36" i="20"/>
  <c r="AH36" i="20"/>
  <c r="AK36" i="20"/>
  <c r="AJ36" i="20"/>
  <c r="AL36" i="20"/>
  <c r="AM36" i="20"/>
  <c r="AO36" i="20"/>
  <c r="AN36" i="20"/>
  <c r="AD35" i="20"/>
  <c r="AE35" i="20"/>
  <c r="AF35" i="20"/>
  <c r="AG35" i="20"/>
  <c r="AI35" i="20"/>
  <c r="AH35" i="20"/>
  <c r="AK35" i="20"/>
  <c r="AJ35" i="20"/>
  <c r="AL35" i="20"/>
  <c r="AM35" i="20"/>
  <c r="AO35" i="20"/>
  <c r="AN35" i="20"/>
  <c r="AD34" i="20"/>
  <c r="AE34" i="20"/>
  <c r="AF34" i="20"/>
  <c r="AG34" i="20"/>
  <c r="AI34" i="20"/>
  <c r="AH34" i="20"/>
  <c r="AK34" i="20"/>
  <c r="AJ34" i="20"/>
  <c r="AL34" i="20"/>
  <c r="AM34" i="20"/>
  <c r="AO34" i="20"/>
  <c r="AN34" i="20"/>
  <c r="AD33" i="20"/>
  <c r="AE33" i="20"/>
  <c r="AF33" i="20"/>
  <c r="AG33" i="20"/>
  <c r="AI33" i="20"/>
  <c r="AH33" i="20"/>
  <c r="AK33" i="20"/>
  <c r="AJ33" i="20"/>
  <c r="AL33" i="20"/>
  <c r="AM33" i="20"/>
  <c r="AO33" i="20"/>
  <c r="AN33" i="20"/>
  <c r="AD32" i="20"/>
  <c r="AE32" i="20"/>
  <c r="AF32" i="20"/>
  <c r="AG32" i="20"/>
  <c r="AI32" i="20"/>
  <c r="AH32" i="20"/>
  <c r="AK32" i="20"/>
  <c r="AJ32" i="20"/>
  <c r="AL32" i="20"/>
  <c r="AM32" i="20"/>
  <c r="AO32" i="20"/>
  <c r="AN32" i="20"/>
  <c r="AD31" i="20"/>
  <c r="AE31" i="20"/>
  <c r="AF31" i="20"/>
  <c r="AG31" i="20"/>
  <c r="AI31" i="20"/>
  <c r="AH31" i="20"/>
  <c r="AK31" i="20"/>
  <c r="AJ31" i="20"/>
  <c r="AL31" i="20"/>
  <c r="AM31" i="20"/>
  <c r="AO31" i="20"/>
  <c r="AN31" i="20"/>
  <c r="AD30" i="20"/>
  <c r="AE30" i="20"/>
  <c r="AF30" i="20"/>
  <c r="AG30" i="20"/>
  <c r="AI30" i="20"/>
  <c r="AH30" i="20"/>
  <c r="AK30" i="20"/>
  <c r="AJ30" i="20"/>
  <c r="AL30" i="20"/>
  <c r="AM30" i="20"/>
  <c r="AO30" i="20"/>
  <c r="AN30" i="20"/>
  <c r="AD29" i="20"/>
  <c r="AE29" i="20"/>
  <c r="AF29" i="20"/>
  <c r="AG29" i="20"/>
  <c r="AI29" i="20"/>
  <c r="AH29" i="20"/>
  <c r="AK29" i="20"/>
  <c r="AJ29" i="20"/>
  <c r="AL29" i="20"/>
  <c r="AM29" i="20"/>
  <c r="AO29" i="20"/>
  <c r="AN29" i="20"/>
  <c r="AD28" i="20"/>
  <c r="AE28" i="20"/>
  <c r="AF28" i="20"/>
  <c r="AG28" i="20"/>
  <c r="AI28" i="20"/>
  <c r="AH28" i="20"/>
  <c r="AK28" i="20"/>
  <c r="AJ28" i="20"/>
  <c r="AL28" i="20"/>
  <c r="AM28" i="20"/>
  <c r="AO28" i="20"/>
  <c r="AN28" i="20"/>
  <c r="AD27" i="20"/>
  <c r="AE27" i="20"/>
  <c r="AF27" i="20"/>
  <c r="AG27" i="20"/>
  <c r="AI27" i="20"/>
  <c r="AH27" i="20"/>
  <c r="AK27" i="20"/>
  <c r="AJ27" i="20"/>
  <c r="AL27" i="20"/>
  <c r="AM27" i="20"/>
  <c r="AO27" i="20"/>
  <c r="AN27" i="20"/>
  <c r="AD26" i="20"/>
  <c r="AE26" i="20"/>
  <c r="AF26" i="20"/>
  <c r="AG26" i="20"/>
  <c r="AI26" i="20"/>
  <c r="AH26" i="20"/>
  <c r="AK26" i="20"/>
  <c r="AJ26" i="20"/>
  <c r="AL26" i="20"/>
  <c r="AM26" i="20"/>
  <c r="AO26" i="20"/>
  <c r="AN26" i="20"/>
  <c r="AD25" i="20"/>
  <c r="AE25" i="20"/>
  <c r="AF25" i="20"/>
  <c r="AG25" i="20"/>
  <c r="AI25" i="20"/>
  <c r="AH25" i="20"/>
  <c r="AK25" i="20"/>
  <c r="AJ25" i="20"/>
  <c r="AL25" i="20"/>
  <c r="AM25" i="20"/>
  <c r="AO25" i="20"/>
  <c r="AN25" i="20"/>
  <c r="AD24" i="20"/>
  <c r="AE24" i="20"/>
  <c r="AF24" i="20"/>
  <c r="AG24" i="20"/>
  <c r="AI24" i="20"/>
  <c r="AH24" i="20"/>
  <c r="AK24" i="20"/>
  <c r="AJ24" i="20"/>
  <c r="AL24" i="20"/>
  <c r="AM24" i="20"/>
  <c r="AO24" i="20"/>
  <c r="AN24" i="20"/>
  <c r="AD23" i="20"/>
  <c r="AE23" i="20"/>
  <c r="AF23" i="20"/>
  <c r="AG23" i="20"/>
  <c r="AI23" i="20"/>
  <c r="AH23" i="20"/>
  <c r="AK23" i="20"/>
  <c r="AJ23" i="20"/>
  <c r="AL23" i="20"/>
  <c r="AM23" i="20"/>
  <c r="AO23" i="20"/>
  <c r="AN23" i="20"/>
  <c r="AD22" i="20"/>
  <c r="AE22" i="20"/>
  <c r="AF22" i="20"/>
  <c r="AG22" i="20"/>
  <c r="AI22" i="20"/>
  <c r="AH22" i="20"/>
  <c r="AK22" i="20"/>
  <c r="AJ22" i="20"/>
  <c r="AL22" i="20"/>
  <c r="AM22" i="20"/>
  <c r="AO22" i="20"/>
  <c r="AN22" i="20"/>
  <c r="AD21" i="20"/>
  <c r="AE21" i="20"/>
  <c r="AF21" i="20"/>
  <c r="AG21" i="20"/>
  <c r="AI21" i="20"/>
  <c r="AH21" i="20"/>
  <c r="AK21" i="20"/>
  <c r="AJ21" i="20"/>
  <c r="AL21" i="20"/>
  <c r="AM21" i="20"/>
  <c r="AO21" i="20"/>
  <c r="AN21" i="20"/>
  <c r="AD20" i="20"/>
  <c r="AE20" i="20"/>
  <c r="AF20" i="20"/>
  <c r="AG20" i="20"/>
  <c r="AI20" i="20"/>
  <c r="AH20" i="20"/>
  <c r="AK20" i="20"/>
  <c r="AJ20" i="20"/>
  <c r="AL20" i="20"/>
  <c r="AM20" i="20"/>
  <c r="AO20" i="20"/>
  <c r="AN20" i="20"/>
  <c r="AD19" i="20"/>
  <c r="AE19" i="20"/>
  <c r="AF19" i="20"/>
  <c r="AG19" i="20"/>
  <c r="AI19" i="20"/>
  <c r="AH19" i="20"/>
  <c r="AK19" i="20"/>
  <c r="AJ19" i="20"/>
  <c r="AL19" i="20"/>
  <c r="AM19" i="20"/>
  <c r="AO19" i="20"/>
  <c r="AN19" i="20"/>
  <c r="AD18" i="20"/>
  <c r="AE18" i="20"/>
  <c r="AF18" i="20"/>
  <c r="AG18" i="20"/>
  <c r="AI18" i="20"/>
  <c r="AH18" i="20"/>
  <c r="AK18" i="20"/>
  <c r="AJ18" i="20"/>
  <c r="AL18" i="20"/>
  <c r="AM18" i="20"/>
  <c r="AO18" i="20"/>
  <c r="AN18" i="20"/>
  <c r="AD17" i="20"/>
  <c r="AE17" i="20"/>
  <c r="AF17" i="20"/>
  <c r="AG17" i="20"/>
  <c r="AI17" i="20"/>
  <c r="AH17" i="20"/>
  <c r="AK17" i="20"/>
  <c r="AJ17" i="20"/>
  <c r="AL17" i="20"/>
  <c r="AM17" i="20"/>
  <c r="AO17" i="20"/>
  <c r="AN17" i="20"/>
  <c r="AD16" i="20"/>
  <c r="AE16" i="20"/>
  <c r="AF16" i="20"/>
  <c r="AG16" i="20"/>
  <c r="AI16" i="20"/>
  <c r="AH16" i="20"/>
  <c r="AK16" i="20"/>
  <c r="AJ16" i="20"/>
  <c r="AL16" i="20"/>
  <c r="AM16" i="20"/>
  <c r="AO16" i="20"/>
  <c r="AN16" i="20"/>
  <c r="AD15" i="20"/>
  <c r="AE15" i="20"/>
  <c r="AF15" i="20"/>
  <c r="AG15" i="20"/>
  <c r="AI15" i="20"/>
  <c r="AH15" i="20"/>
  <c r="AK15" i="20"/>
  <c r="AJ15" i="20"/>
  <c r="AL15" i="20"/>
  <c r="AM15" i="20"/>
  <c r="AO15" i="20"/>
  <c r="AN15" i="20"/>
  <c r="AD14" i="20"/>
  <c r="AE14" i="20"/>
  <c r="AF14" i="20"/>
  <c r="AG14" i="20"/>
  <c r="AI14" i="20"/>
  <c r="AH14" i="20"/>
  <c r="AK14" i="20"/>
  <c r="AJ14" i="20"/>
  <c r="AL14" i="20"/>
  <c r="AM14" i="20"/>
  <c r="AO14" i="20"/>
  <c r="AN14" i="20"/>
  <c r="AD13" i="20"/>
  <c r="AE13" i="20"/>
  <c r="AF13" i="20"/>
  <c r="AG13" i="20"/>
  <c r="AI13" i="20"/>
  <c r="D13" i="20"/>
  <c r="E13" i="20"/>
  <c r="I13" i="20"/>
  <c r="AH13" i="20"/>
  <c r="AK13" i="20"/>
  <c r="AO13" i="20"/>
  <c r="AN13" i="20"/>
  <c r="AJ13" i="20"/>
  <c r="AM13" i="20"/>
  <c r="AL13" i="20"/>
  <c r="AK11" i="20"/>
  <c r="AD10" i="20"/>
  <c r="Q122" i="20"/>
  <c r="R122" i="20"/>
  <c r="S122" i="20"/>
  <c r="T122" i="20"/>
  <c r="V122" i="20"/>
  <c r="U122" i="20"/>
  <c r="X122" i="20"/>
  <c r="W122" i="20"/>
  <c r="Y122" i="20"/>
  <c r="Z122" i="20"/>
  <c r="AB122" i="20"/>
  <c r="AA122" i="20"/>
  <c r="Q121" i="20"/>
  <c r="R121" i="20"/>
  <c r="S121" i="20"/>
  <c r="T121" i="20"/>
  <c r="V121" i="20"/>
  <c r="U121" i="20"/>
  <c r="X121" i="20"/>
  <c r="W121" i="20"/>
  <c r="Y121" i="20"/>
  <c r="Z121" i="20"/>
  <c r="AB121" i="20"/>
  <c r="AA121" i="20"/>
  <c r="Q120" i="20"/>
  <c r="R120" i="20"/>
  <c r="S120" i="20"/>
  <c r="T120" i="20"/>
  <c r="V120" i="20"/>
  <c r="U120" i="20"/>
  <c r="X120" i="20"/>
  <c r="W120" i="20"/>
  <c r="Y120" i="20"/>
  <c r="Z120" i="20"/>
  <c r="AB120" i="20"/>
  <c r="AA120" i="20"/>
  <c r="Q119" i="20"/>
  <c r="R119" i="20"/>
  <c r="S119" i="20"/>
  <c r="T119" i="20"/>
  <c r="V119" i="20"/>
  <c r="U119" i="20"/>
  <c r="X119" i="20"/>
  <c r="W119" i="20"/>
  <c r="Y119" i="20"/>
  <c r="Z119" i="20"/>
  <c r="AB119" i="20"/>
  <c r="AA119" i="20"/>
  <c r="Q118" i="20"/>
  <c r="R118" i="20"/>
  <c r="S118" i="20"/>
  <c r="T118" i="20"/>
  <c r="V118" i="20"/>
  <c r="U118" i="20"/>
  <c r="X118" i="20"/>
  <c r="W118" i="20"/>
  <c r="Y118" i="20"/>
  <c r="Z118" i="20"/>
  <c r="AB118" i="20"/>
  <c r="AA118" i="20"/>
  <c r="Q117" i="20"/>
  <c r="R117" i="20"/>
  <c r="S117" i="20"/>
  <c r="T117" i="20"/>
  <c r="V117" i="20"/>
  <c r="U117" i="20"/>
  <c r="X117" i="20"/>
  <c r="W117" i="20"/>
  <c r="Y117" i="20"/>
  <c r="Z117" i="20"/>
  <c r="AB117" i="20"/>
  <c r="AA117" i="20"/>
  <c r="Q116" i="20"/>
  <c r="R116" i="20"/>
  <c r="S116" i="20"/>
  <c r="T116" i="20"/>
  <c r="V116" i="20"/>
  <c r="U116" i="20"/>
  <c r="X116" i="20"/>
  <c r="W116" i="20"/>
  <c r="Y116" i="20"/>
  <c r="Z116" i="20"/>
  <c r="AB116" i="20"/>
  <c r="AA116" i="20"/>
  <c r="Q115" i="20"/>
  <c r="R115" i="20"/>
  <c r="S115" i="20"/>
  <c r="T115" i="20"/>
  <c r="V115" i="20"/>
  <c r="U115" i="20"/>
  <c r="X115" i="20"/>
  <c r="W115" i="20"/>
  <c r="Y115" i="20"/>
  <c r="Z115" i="20"/>
  <c r="AB115" i="20"/>
  <c r="AA115" i="20"/>
  <c r="Q114" i="20"/>
  <c r="R114" i="20"/>
  <c r="S114" i="20"/>
  <c r="T114" i="20"/>
  <c r="V114" i="20"/>
  <c r="U114" i="20"/>
  <c r="X114" i="20"/>
  <c r="W114" i="20"/>
  <c r="Y114" i="20"/>
  <c r="Z114" i="20"/>
  <c r="AB114" i="20"/>
  <c r="AA114" i="20"/>
  <c r="Q113" i="20"/>
  <c r="R113" i="20"/>
  <c r="S113" i="20"/>
  <c r="T113" i="20"/>
  <c r="V113" i="20"/>
  <c r="U113" i="20"/>
  <c r="X113" i="20"/>
  <c r="W113" i="20"/>
  <c r="Y113" i="20"/>
  <c r="Z113" i="20"/>
  <c r="AB113" i="20"/>
  <c r="AA113" i="20"/>
  <c r="Q112" i="20"/>
  <c r="R112" i="20"/>
  <c r="S112" i="20"/>
  <c r="T112" i="20"/>
  <c r="V112" i="20"/>
  <c r="U112" i="20"/>
  <c r="X112" i="20"/>
  <c r="W112" i="20"/>
  <c r="Y112" i="20"/>
  <c r="Z112" i="20"/>
  <c r="AB112" i="20"/>
  <c r="AA112" i="20"/>
  <c r="Q111" i="20"/>
  <c r="R111" i="20"/>
  <c r="S111" i="20"/>
  <c r="T111" i="20"/>
  <c r="V111" i="20"/>
  <c r="U111" i="20"/>
  <c r="X111" i="20"/>
  <c r="W111" i="20"/>
  <c r="Y111" i="20"/>
  <c r="Z111" i="20"/>
  <c r="AB111" i="20"/>
  <c r="AA111" i="20"/>
  <c r="Q110" i="20"/>
  <c r="R110" i="20"/>
  <c r="S110" i="20"/>
  <c r="T110" i="20"/>
  <c r="V110" i="20"/>
  <c r="U110" i="20"/>
  <c r="X110" i="20"/>
  <c r="W110" i="20"/>
  <c r="Y110" i="20"/>
  <c r="Z110" i="20"/>
  <c r="AB110" i="20"/>
  <c r="AA110" i="20"/>
  <c r="Q109" i="20"/>
  <c r="R109" i="20"/>
  <c r="S109" i="20"/>
  <c r="T109" i="20"/>
  <c r="V109" i="20"/>
  <c r="U109" i="20"/>
  <c r="X109" i="20"/>
  <c r="W109" i="20"/>
  <c r="Y109" i="20"/>
  <c r="Z109" i="20"/>
  <c r="AB109" i="20"/>
  <c r="AA109" i="20"/>
  <c r="Q108" i="20"/>
  <c r="R108" i="20"/>
  <c r="S108" i="20"/>
  <c r="T108" i="20"/>
  <c r="V108" i="20"/>
  <c r="U108" i="20"/>
  <c r="X108" i="20"/>
  <c r="W108" i="20"/>
  <c r="Y108" i="20"/>
  <c r="Z108" i="20"/>
  <c r="AB108" i="20"/>
  <c r="AA108" i="20"/>
  <c r="Q107" i="20"/>
  <c r="R107" i="20"/>
  <c r="S107" i="20"/>
  <c r="T107" i="20"/>
  <c r="V107" i="20"/>
  <c r="U107" i="20"/>
  <c r="X107" i="20"/>
  <c r="W107" i="20"/>
  <c r="Y107" i="20"/>
  <c r="Z107" i="20"/>
  <c r="AB107" i="20"/>
  <c r="AA107" i="20"/>
  <c r="Q106" i="20"/>
  <c r="R106" i="20"/>
  <c r="S106" i="20"/>
  <c r="T106" i="20"/>
  <c r="V106" i="20"/>
  <c r="U106" i="20"/>
  <c r="X106" i="20"/>
  <c r="W106" i="20"/>
  <c r="Y106" i="20"/>
  <c r="Z106" i="20"/>
  <c r="AB106" i="20"/>
  <c r="AA106" i="20"/>
  <c r="Q105" i="20"/>
  <c r="R105" i="20"/>
  <c r="S105" i="20"/>
  <c r="T105" i="20"/>
  <c r="V105" i="20"/>
  <c r="U105" i="20"/>
  <c r="X105" i="20"/>
  <c r="W105" i="20"/>
  <c r="Y105" i="20"/>
  <c r="Z105" i="20"/>
  <c r="AB105" i="20"/>
  <c r="AA105" i="20"/>
  <c r="Q104" i="20"/>
  <c r="R104" i="20"/>
  <c r="S104" i="20"/>
  <c r="T104" i="20"/>
  <c r="V104" i="20"/>
  <c r="U104" i="20"/>
  <c r="X104" i="20"/>
  <c r="W104" i="20"/>
  <c r="Y104" i="20"/>
  <c r="Z104" i="20"/>
  <c r="AB104" i="20"/>
  <c r="AA104" i="20"/>
  <c r="Q103" i="20"/>
  <c r="R103" i="20"/>
  <c r="S103" i="20"/>
  <c r="T103" i="20"/>
  <c r="V103" i="20"/>
  <c r="U103" i="20"/>
  <c r="X103" i="20"/>
  <c r="W103" i="20"/>
  <c r="Y103" i="20"/>
  <c r="Z103" i="20"/>
  <c r="AB103" i="20"/>
  <c r="AA103" i="20"/>
  <c r="Q102" i="20"/>
  <c r="R102" i="20"/>
  <c r="S102" i="20"/>
  <c r="T102" i="20"/>
  <c r="V102" i="20"/>
  <c r="U102" i="20"/>
  <c r="X102" i="20"/>
  <c r="W102" i="20"/>
  <c r="Y102" i="20"/>
  <c r="Z102" i="20"/>
  <c r="AB102" i="20"/>
  <c r="AA102" i="20"/>
  <c r="Q101" i="20"/>
  <c r="R101" i="20"/>
  <c r="S101" i="20"/>
  <c r="T101" i="20"/>
  <c r="V101" i="20"/>
  <c r="U101" i="20"/>
  <c r="X101" i="20"/>
  <c r="W101" i="20"/>
  <c r="Y101" i="20"/>
  <c r="Z101" i="20"/>
  <c r="AB101" i="20"/>
  <c r="AA101" i="20"/>
  <c r="Q100" i="20"/>
  <c r="R100" i="20"/>
  <c r="S100" i="20"/>
  <c r="T100" i="20"/>
  <c r="V100" i="20"/>
  <c r="U100" i="20"/>
  <c r="X100" i="20"/>
  <c r="W100" i="20"/>
  <c r="Y100" i="20"/>
  <c r="Z100" i="20"/>
  <c r="AB100" i="20"/>
  <c r="AA100" i="20"/>
  <c r="Q99" i="20"/>
  <c r="R99" i="20"/>
  <c r="S99" i="20"/>
  <c r="T99" i="20"/>
  <c r="V99" i="20"/>
  <c r="U99" i="20"/>
  <c r="X99" i="20"/>
  <c r="W99" i="20"/>
  <c r="Y99" i="20"/>
  <c r="Z99" i="20"/>
  <c r="AB99" i="20"/>
  <c r="AA99" i="20"/>
  <c r="Q98" i="20"/>
  <c r="R98" i="20"/>
  <c r="S98" i="20"/>
  <c r="T98" i="20"/>
  <c r="V98" i="20"/>
  <c r="U98" i="20"/>
  <c r="X98" i="20"/>
  <c r="W98" i="20"/>
  <c r="Y98" i="20"/>
  <c r="Z98" i="20"/>
  <c r="AB98" i="20"/>
  <c r="AA98" i="20"/>
  <c r="Q97" i="20"/>
  <c r="R97" i="20"/>
  <c r="S97" i="20"/>
  <c r="T97" i="20"/>
  <c r="V97" i="20"/>
  <c r="U97" i="20"/>
  <c r="X97" i="20"/>
  <c r="W97" i="20"/>
  <c r="Y97" i="20"/>
  <c r="Z97" i="20"/>
  <c r="AB97" i="20"/>
  <c r="AA97" i="20"/>
  <c r="Q96" i="20"/>
  <c r="R96" i="20"/>
  <c r="S96" i="20"/>
  <c r="T96" i="20"/>
  <c r="V96" i="20"/>
  <c r="U96" i="20"/>
  <c r="X96" i="20"/>
  <c r="W96" i="20"/>
  <c r="Y96" i="20"/>
  <c r="Z96" i="20"/>
  <c r="AB96" i="20"/>
  <c r="AA96" i="20"/>
  <c r="Q95" i="20"/>
  <c r="R95" i="20"/>
  <c r="S95" i="20"/>
  <c r="T95" i="20"/>
  <c r="V95" i="20"/>
  <c r="U95" i="20"/>
  <c r="X95" i="20"/>
  <c r="W95" i="20"/>
  <c r="Y95" i="20"/>
  <c r="Z95" i="20"/>
  <c r="AB95" i="20"/>
  <c r="AA95" i="20"/>
  <c r="Q94" i="20"/>
  <c r="R94" i="20"/>
  <c r="S94" i="20"/>
  <c r="T94" i="20"/>
  <c r="V94" i="20"/>
  <c r="U94" i="20"/>
  <c r="X94" i="20"/>
  <c r="W94" i="20"/>
  <c r="Y94" i="20"/>
  <c r="Z94" i="20"/>
  <c r="AB94" i="20"/>
  <c r="AA94" i="20"/>
  <c r="Q93" i="20"/>
  <c r="R93" i="20"/>
  <c r="S93" i="20"/>
  <c r="T93" i="20"/>
  <c r="V93" i="20"/>
  <c r="U93" i="20"/>
  <c r="X93" i="20"/>
  <c r="W93" i="20"/>
  <c r="Y93" i="20"/>
  <c r="Z93" i="20"/>
  <c r="AB93" i="20"/>
  <c r="AA93" i="20"/>
  <c r="Q92" i="20"/>
  <c r="R92" i="20"/>
  <c r="S92" i="20"/>
  <c r="T92" i="20"/>
  <c r="V92" i="20"/>
  <c r="U92" i="20"/>
  <c r="X92" i="20"/>
  <c r="W92" i="20"/>
  <c r="Y92" i="20"/>
  <c r="Z92" i="20"/>
  <c r="AB92" i="20"/>
  <c r="AA92" i="20"/>
  <c r="Q91" i="20"/>
  <c r="R91" i="20"/>
  <c r="S91" i="20"/>
  <c r="T91" i="20"/>
  <c r="V91" i="20"/>
  <c r="U91" i="20"/>
  <c r="X91" i="20"/>
  <c r="W91" i="20"/>
  <c r="Y91" i="20"/>
  <c r="Z91" i="20"/>
  <c r="AB91" i="20"/>
  <c r="AA91" i="20"/>
  <c r="Q90" i="20"/>
  <c r="R90" i="20"/>
  <c r="S90" i="20"/>
  <c r="T90" i="20"/>
  <c r="V90" i="20"/>
  <c r="U90" i="20"/>
  <c r="X90" i="20"/>
  <c r="W90" i="20"/>
  <c r="Y90" i="20"/>
  <c r="Z90" i="20"/>
  <c r="AB90" i="20"/>
  <c r="AA90" i="20"/>
  <c r="Q89" i="20"/>
  <c r="R89" i="20"/>
  <c r="S89" i="20"/>
  <c r="T89" i="20"/>
  <c r="V89" i="20"/>
  <c r="U89" i="20"/>
  <c r="X89" i="20"/>
  <c r="W89" i="20"/>
  <c r="Y89" i="20"/>
  <c r="Z89" i="20"/>
  <c r="AB89" i="20"/>
  <c r="AA89" i="20"/>
  <c r="Q88" i="20"/>
  <c r="R88" i="20"/>
  <c r="S88" i="20"/>
  <c r="T88" i="20"/>
  <c r="V88" i="20"/>
  <c r="U88" i="20"/>
  <c r="X88" i="20"/>
  <c r="W88" i="20"/>
  <c r="Y88" i="20"/>
  <c r="Z88" i="20"/>
  <c r="AB88" i="20"/>
  <c r="AA88" i="20"/>
  <c r="Q87" i="20"/>
  <c r="R87" i="20"/>
  <c r="S87" i="20"/>
  <c r="T87" i="20"/>
  <c r="V87" i="20"/>
  <c r="U87" i="20"/>
  <c r="X87" i="20"/>
  <c r="W87" i="20"/>
  <c r="Y87" i="20"/>
  <c r="Z87" i="20"/>
  <c r="AB87" i="20"/>
  <c r="AA87" i="20"/>
  <c r="Q86" i="20"/>
  <c r="R86" i="20"/>
  <c r="S86" i="20"/>
  <c r="T86" i="20"/>
  <c r="V86" i="20"/>
  <c r="U86" i="20"/>
  <c r="X86" i="20"/>
  <c r="W86" i="20"/>
  <c r="Y86" i="20"/>
  <c r="Z86" i="20"/>
  <c r="AB86" i="20"/>
  <c r="AA86" i="20"/>
  <c r="Q85" i="20"/>
  <c r="R85" i="20"/>
  <c r="S85" i="20"/>
  <c r="T85" i="20"/>
  <c r="V85" i="20"/>
  <c r="U85" i="20"/>
  <c r="X85" i="20"/>
  <c r="W85" i="20"/>
  <c r="Y85" i="20"/>
  <c r="Z85" i="20"/>
  <c r="AB85" i="20"/>
  <c r="AA85" i="20"/>
  <c r="Q84" i="20"/>
  <c r="R84" i="20"/>
  <c r="S84" i="20"/>
  <c r="T84" i="20"/>
  <c r="V84" i="20"/>
  <c r="U84" i="20"/>
  <c r="X84" i="20"/>
  <c r="W84" i="20"/>
  <c r="Y84" i="20"/>
  <c r="Z84" i="20"/>
  <c r="AB84" i="20"/>
  <c r="AA84" i="20"/>
  <c r="Q83" i="20"/>
  <c r="R83" i="20"/>
  <c r="S83" i="20"/>
  <c r="T83" i="20"/>
  <c r="V83" i="20"/>
  <c r="U83" i="20"/>
  <c r="X83" i="20"/>
  <c r="W83" i="20"/>
  <c r="Y83" i="20"/>
  <c r="Z83" i="20"/>
  <c r="AB83" i="20"/>
  <c r="AA83" i="20"/>
  <c r="Q82" i="20"/>
  <c r="R82" i="20"/>
  <c r="S82" i="20"/>
  <c r="T82" i="20"/>
  <c r="V82" i="20"/>
  <c r="U82" i="20"/>
  <c r="X82" i="20"/>
  <c r="W82" i="20"/>
  <c r="Y82" i="20"/>
  <c r="Z82" i="20"/>
  <c r="AB82" i="20"/>
  <c r="AA82" i="20"/>
  <c r="Q81" i="20"/>
  <c r="R81" i="20"/>
  <c r="S81" i="20"/>
  <c r="T81" i="20"/>
  <c r="V81" i="20"/>
  <c r="U81" i="20"/>
  <c r="X81" i="20"/>
  <c r="W81" i="20"/>
  <c r="Y81" i="20"/>
  <c r="Z81" i="20"/>
  <c r="AB81" i="20"/>
  <c r="AA81" i="20"/>
  <c r="Q80" i="20"/>
  <c r="R80" i="20"/>
  <c r="S80" i="20"/>
  <c r="T80" i="20"/>
  <c r="V80" i="20"/>
  <c r="U80" i="20"/>
  <c r="X80" i="20"/>
  <c r="W80" i="20"/>
  <c r="Y80" i="20"/>
  <c r="Z80" i="20"/>
  <c r="AB80" i="20"/>
  <c r="AA80" i="20"/>
  <c r="Q79" i="20"/>
  <c r="R79" i="20"/>
  <c r="S79" i="20"/>
  <c r="T79" i="20"/>
  <c r="V79" i="20"/>
  <c r="U79" i="20"/>
  <c r="X79" i="20"/>
  <c r="W79" i="20"/>
  <c r="Y79" i="20"/>
  <c r="Z79" i="20"/>
  <c r="AB79" i="20"/>
  <c r="AA79" i="20"/>
  <c r="Q78" i="20"/>
  <c r="R78" i="20"/>
  <c r="S78" i="20"/>
  <c r="T78" i="20"/>
  <c r="V78" i="20"/>
  <c r="U78" i="20"/>
  <c r="X78" i="20"/>
  <c r="W78" i="20"/>
  <c r="Y78" i="20"/>
  <c r="Z78" i="20"/>
  <c r="AB78" i="20"/>
  <c r="AA78" i="20"/>
  <c r="Q77" i="20"/>
  <c r="R77" i="20"/>
  <c r="S77" i="20"/>
  <c r="T77" i="20"/>
  <c r="V77" i="20"/>
  <c r="U77" i="20"/>
  <c r="X77" i="20"/>
  <c r="W77" i="20"/>
  <c r="Y77" i="20"/>
  <c r="Z77" i="20"/>
  <c r="AB77" i="20"/>
  <c r="AA77" i="20"/>
  <c r="Q76" i="20"/>
  <c r="R76" i="20"/>
  <c r="S76" i="20"/>
  <c r="T76" i="20"/>
  <c r="V76" i="20"/>
  <c r="U76" i="20"/>
  <c r="X76" i="20"/>
  <c r="W76" i="20"/>
  <c r="Y76" i="20"/>
  <c r="Z76" i="20"/>
  <c r="AB76" i="20"/>
  <c r="AA76" i="20"/>
  <c r="Q75" i="20"/>
  <c r="R75" i="20"/>
  <c r="S75" i="20"/>
  <c r="T75" i="20"/>
  <c r="V75" i="20"/>
  <c r="U75" i="20"/>
  <c r="X75" i="20"/>
  <c r="W75" i="20"/>
  <c r="Y75" i="20"/>
  <c r="Z75" i="20"/>
  <c r="AB75" i="20"/>
  <c r="AA75" i="20"/>
  <c r="Q74" i="20"/>
  <c r="R74" i="20"/>
  <c r="S74" i="20"/>
  <c r="T74" i="20"/>
  <c r="V74" i="20"/>
  <c r="U74" i="20"/>
  <c r="X74" i="20"/>
  <c r="W74" i="20"/>
  <c r="Y74" i="20"/>
  <c r="Z74" i="20"/>
  <c r="AB74" i="20"/>
  <c r="AA74" i="20"/>
  <c r="Q73" i="20"/>
  <c r="R73" i="20"/>
  <c r="S73" i="20"/>
  <c r="T73" i="20"/>
  <c r="V73" i="20"/>
  <c r="U73" i="20"/>
  <c r="X73" i="20"/>
  <c r="W73" i="20"/>
  <c r="Y73" i="20"/>
  <c r="Z73" i="20"/>
  <c r="AB73" i="20"/>
  <c r="AA73" i="20"/>
  <c r="Q72" i="20"/>
  <c r="R72" i="20"/>
  <c r="S72" i="20"/>
  <c r="T72" i="20"/>
  <c r="V72" i="20"/>
  <c r="U72" i="20"/>
  <c r="X72" i="20"/>
  <c r="W72" i="20"/>
  <c r="Y72" i="20"/>
  <c r="Z72" i="20"/>
  <c r="AB72" i="20"/>
  <c r="AA72" i="20"/>
  <c r="Q71" i="20"/>
  <c r="R71" i="20"/>
  <c r="S71" i="20"/>
  <c r="T71" i="20"/>
  <c r="V71" i="20"/>
  <c r="U71" i="20"/>
  <c r="X71" i="20"/>
  <c r="W71" i="20"/>
  <c r="Y71" i="20"/>
  <c r="Z71" i="20"/>
  <c r="AB71" i="20"/>
  <c r="AA71" i="20"/>
  <c r="Q70" i="20"/>
  <c r="R70" i="20"/>
  <c r="S70" i="20"/>
  <c r="T70" i="20"/>
  <c r="V70" i="20"/>
  <c r="U70" i="20"/>
  <c r="X70" i="20"/>
  <c r="W70" i="20"/>
  <c r="Y70" i="20"/>
  <c r="Z70" i="20"/>
  <c r="AB70" i="20"/>
  <c r="AA70" i="20"/>
  <c r="Q69" i="20"/>
  <c r="R69" i="20"/>
  <c r="S69" i="20"/>
  <c r="T69" i="20"/>
  <c r="V69" i="20"/>
  <c r="U69" i="20"/>
  <c r="X69" i="20"/>
  <c r="W69" i="20"/>
  <c r="Y69" i="20"/>
  <c r="Z69" i="20"/>
  <c r="AB69" i="20"/>
  <c r="AA69" i="20"/>
  <c r="Q68" i="20"/>
  <c r="R68" i="20"/>
  <c r="S68" i="20"/>
  <c r="T68" i="20"/>
  <c r="V68" i="20"/>
  <c r="U68" i="20"/>
  <c r="X68" i="20"/>
  <c r="W68" i="20"/>
  <c r="Y68" i="20"/>
  <c r="Z68" i="20"/>
  <c r="AB68" i="20"/>
  <c r="AA68" i="20"/>
  <c r="Q67" i="20"/>
  <c r="R67" i="20"/>
  <c r="S67" i="20"/>
  <c r="T67" i="20"/>
  <c r="V67" i="20"/>
  <c r="U67" i="20"/>
  <c r="X67" i="20"/>
  <c r="W67" i="20"/>
  <c r="Y67" i="20"/>
  <c r="Z67" i="20"/>
  <c r="AB67" i="20"/>
  <c r="AA67" i="20"/>
  <c r="Q66" i="20"/>
  <c r="R66" i="20"/>
  <c r="S66" i="20"/>
  <c r="T66" i="20"/>
  <c r="V66" i="20"/>
  <c r="U66" i="20"/>
  <c r="X66" i="20"/>
  <c r="W66" i="20"/>
  <c r="Y66" i="20"/>
  <c r="Z66" i="20"/>
  <c r="AB66" i="20"/>
  <c r="AA66" i="20"/>
  <c r="Q65" i="20"/>
  <c r="R65" i="20"/>
  <c r="S65" i="20"/>
  <c r="T65" i="20"/>
  <c r="V65" i="20"/>
  <c r="U65" i="20"/>
  <c r="X65" i="20"/>
  <c r="W65" i="20"/>
  <c r="Y65" i="20"/>
  <c r="Z65" i="20"/>
  <c r="AB65" i="20"/>
  <c r="AA65" i="20"/>
  <c r="Q64" i="20"/>
  <c r="R64" i="20"/>
  <c r="S64" i="20"/>
  <c r="T64" i="20"/>
  <c r="V64" i="20"/>
  <c r="U64" i="20"/>
  <c r="X64" i="20"/>
  <c r="W64" i="20"/>
  <c r="Y64" i="20"/>
  <c r="Z64" i="20"/>
  <c r="AB64" i="20"/>
  <c r="AA64" i="20"/>
  <c r="Q63" i="20"/>
  <c r="R63" i="20"/>
  <c r="S63" i="20"/>
  <c r="T63" i="20"/>
  <c r="V63" i="20"/>
  <c r="U63" i="20"/>
  <c r="X63" i="20"/>
  <c r="W63" i="20"/>
  <c r="Y63" i="20"/>
  <c r="Z63" i="20"/>
  <c r="AB63" i="20"/>
  <c r="AA63" i="20"/>
  <c r="Q62" i="20"/>
  <c r="R62" i="20"/>
  <c r="S62" i="20"/>
  <c r="T62" i="20"/>
  <c r="V62" i="20"/>
  <c r="U62" i="20"/>
  <c r="X62" i="20"/>
  <c r="W62" i="20"/>
  <c r="Y62" i="20"/>
  <c r="Z62" i="20"/>
  <c r="AB62" i="20"/>
  <c r="AA62" i="20"/>
  <c r="Q61" i="20"/>
  <c r="R61" i="20"/>
  <c r="S61" i="20"/>
  <c r="T61" i="20"/>
  <c r="V61" i="20"/>
  <c r="U61" i="20"/>
  <c r="X61" i="20"/>
  <c r="W61" i="20"/>
  <c r="Y61" i="20"/>
  <c r="Z61" i="20"/>
  <c r="AB61" i="20"/>
  <c r="AA61" i="20"/>
  <c r="Q60" i="20"/>
  <c r="R60" i="20"/>
  <c r="S60" i="20"/>
  <c r="T60" i="20"/>
  <c r="V60" i="20"/>
  <c r="U60" i="20"/>
  <c r="X60" i="20"/>
  <c r="W60" i="20"/>
  <c r="Y60" i="20"/>
  <c r="Z60" i="20"/>
  <c r="AB60" i="20"/>
  <c r="AA60" i="20"/>
  <c r="Q59" i="20"/>
  <c r="R59" i="20"/>
  <c r="S59" i="20"/>
  <c r="T59" i="20"/>
  <c r="V59" i="20"/>
  <c r="U59" i="20"/>
  <c r="X59" i="20"/>
  <c r="W59" i="20"/>
  <c r="Y59" i="20"/>
  <c r="Z59" i="20"/>
  <c r="AB59" i="20"/>
  <c r="AA59" i="20"/>
  <c r="Q58" i="20"/>
  <c r="R58" i="20"/>
  <c r="S58" i="20"/>
  <c r="T58" i="20"/>
  <c r="V58" i="20"/>
  <c r="U58" i="20"/>
  <c r="X58" i="20"/>
  <c r="W58" i="20"/>
  <c r="Y58" i="20"/>
  <c r="Z58" i="20"/>
  <c r="AB58" i="20"/>
  <c r="AA58" i="20"/>
  <c r="Q57" i="20"/>
  <c r="R57" i="20"/>
  <c r="S57" i="20"/>
  <c r="T57" i="20"/>
  <c r="V57" i="20"/>
  <c r="U57" i="20"/>
  <c r="X57" i="20"/>
  <c r="W57" i="20"/>
  <c r="Y57" i="20"/>
  <c r="Z57" i="20"/>
  <c r="AB57" i="20"/>
  <c r="AA57" i="20"/>
  <c r="Q56" i="20"/>
  <c r="R56" i="20"/>
  <c r="S56" i="20"/>
  <c r="T56" i="20"/>
  <c r="V56" i="20"/>
  <c r="U56" i="20"/>
  <c r="X56" i="20"/>
  <c r="W56" i="20"/>
  <c r="Y56" i="20"/>
  <c r="Z56" i="20"/>
  <c r="AB56" i="20"/>
  <c r="AA56" i="20"/>
  <c r="Q55" i="20"/>
  <c r="R55" i="20"/>
  <c r="S55" i="20"/>
  <c r="T55" i="20"/>
  <c r="V55" i="20"/>
  <c r="U55" i="20"/>
  <c r="X55" i="20"/>
  <c r="W55" i="20"/>
  <c r="Y55" i="20"/>
  <c r="Z55" i="20"/>
  <c r="AB55" i="20"/>
  <c r="AA55" i="20"/>
  <c r="Q54" i="20"/>
  <c r="R54" i="20"/>
  <c r="S54" i="20"/>
  <c r="T54" i="20"/>
  <c r="V54" i="20"/>
  <c r="U54" i="20"/>
  <c r="X54" i="20"/>
  <c r="W54" i="20"/>
  <c r="Y54" i="20"/>
  <c r="Z54" i="20"/>
  <c r="AB54" i="20"/>
  <c r="AA54" i="20"/>
  <c r="Q53" i="20"/>
  <c r="R53" i="20"/>
  <c r="S53" i="20"/>
  <c r="T53" i="20"/>
  <c r="V53" i="20"/>
  <c r="U53" i="20"/>
  <c r="X53" i="20"/>
  <c r="W53" i="20"/>
  <c r="Y53" i="20"/>
  <c r="Z53" i="20"/>
  <c r="AB53" i="20"/>
  <c r="AA53" i="20"/>
  <c r="Q52" i="20"/>
  <c r="R52" i="20"/>
  <c r="S52" i="20"/>
  <c r="T52" i="20"/>
  <c r="V52" i="20"/>
  <c r="U52" i="20"/>
  <c r="X52" i="20"/>
  <c r="W52" i="20"/>
  <c r="Y52" i="20"/>
  <c r="Z52" i="20"/>
  <c r="AB52" i="20"/>
  <c r="AA52" i="20"/>
  <c r="Q51" i="20"/>
  <c r="R51" i="20"/>
  <c r="S51" i="20"/>
  <c r="T51" i="20"/>
  <c r="V51" i="20"/>
  <c r="U51" i="20"/>
  <c r="X51" i="20"/>
  <c r="W51" i="20"/>
  <c r="Y51" i="20"/>
  <c r="Z51" i="20"/>
  <c r="AB51" i="20"/>
  <c r="AA51" i="20"/>
  <c r="Q50" i="20"/>
  <c r="R50" i="20"/>
  <c r="S50" i="20"/>
  <c r="T50" i="20"/>
  <c r="V50" i="20"/>
  <c r="U50" i="20"/>
  <c r="X50" i="20"/>
  <c r="W50" i="20"/>
  <c r="Y50" i="20"/>
  <c r="Z50" i="20"/>
  <c r="AB50" i="20"/>
  <c r="AA50" i="20"/>
  <c r="Q49" i="20"/>
  <c r="R49" i="20"/>
  <c r="S49" i="20"/>
  <c r="T49" i="20"/>
  <c r="V49" i="20"/>
  <c r="U49" i="20"/>
  <c r="X49" i="20"/>
  <c r="W49" i="20"/>
  <c r="Y49" i="20"/>
  <c r="Z49" i="20"/>
  <c r="AB49" i="20"/>
  <c r="AA49" i="20"/>
  <c r="Q48" i="20"/>
  <c r="R48" i="20"/>
  <c r="S48" i="20"/>
  <c r="T48" i="20"/>
  <c r="V48" i="20"/>
  <c r="U48" i="20"/>
  <c r="X48" i="20"/>
  <c r="W48" i="20"/>
  <c r="Y48" i="20"/>
  <c r="Z48" i="20"/>
  <c r="AB48" i="20"/>
  <c r="AA48" i="20"/>
  <c r="Q47" i="20"/>
  <c r="R47" i="20"/>
  <c r="S47" i="20"/>
  <c r="T47" i="20"/>
  <c r="V47" i="20"/>
  <c r="U47" i="20"/>
  <c r="X47" i="20"/>
  <c r="W47" i="20"/>
  <c r="Y47" i="20"/>
  <c r="Z47" i="20"/>
  <c r="AB47" i="20"/>
  <c r="AA47" i="20"/>
  <c r="Q46" i="20"/>
  <c r="R46" i="20"/>
  <c r="S46" i="20"/>
  <c r="T46" i="20"/>
  <c r="V46" i="20"/>
  <c r="U46" i="20"/>
  <c r="X46" i="20"/>
  <c r="W46" i="20"/>
  <c r="Y46" i="20"/>
  <c r="Z46" i="20"/>
  <c r="AB46" i="20"/>
  <c r="AA46" i="20"/>
  <c r="Q45" i="20"/>
  <c r="R45" i="20"/>
  <c r="S45" i="20"/>
  <c r="T45" i="20"/>
  <c r="V45" i="20"/>
  <c r="U45" i="20"/>
  <c r="X45" i="20"/>
  <c r="W45" i="20"/>
  <c r="Y45" i="20"/>
  <c r="Z45" i="20"/>
  <c r="AB45" i="20"/>
  <c r="AA45" i="20"/>
  <c r="Q44" i="20"/>
  <c r="R44" i="20"/>
  <c r="S44" i="20"/>
  <c r="T44" i="20"/>
  <c r="V44" i="20"/>
  <c r="U44" i="20"/>
  <c r="X44" i="20"/>
  <c r="W44" i="20"/>
  <c r="Y44" i="20"/>
  <c r="Z44" i="20"/>
  <c r="AB44" i="20"/>
  <c r="AA44" i="20"/>
  <c r="Q43" i="20"/>
  <c r="R43" i="20"/>
  <c r="S43" i="20"/>
  <c r="T43" i="20"/>
  <c r="V43" i="20"/>
  <c r="U43" i="20"/>
  <c r="X43" i="20"/>
  <c r="W43" i="20"/>
  <c r="Y43" i="20"/>
  <c r="Z43" i="20"/>
  <c r="AB43" i="20"/>
  <c r="AA43" i="20"/>
  <c r="Q42" i="20"/>
  <c r="R42" i="20"/>
  <c r="S42" i="20"/>
  <c r="T42" i="20"/>
  <c r="V42" i="20"/>
  <c r="U42" i="20"/>
  <c r="X42" i="20"/>
  <c r="W42" i="20"/>
  <c r="Y42" i="20"/>
  <c r="Z42" i="20"/>
  <c r="AB42" i="20"/>
  <c r="AA42" i="20"/>
  <c r="Q41" i="20"/>
  <c r="R41" i="20"/>
  <c r="S41" i="20"/>
  <c r="T41" i="20"/>
  <c r="V41" i="20"/>
  <c r="U41" i="20"/>
  <c r="X41" i="20"/>
  <c r="W41" i="20"/>
  <c r="Y41" i="20"/>
  <c r="Z41" i="20"/>
  <c r="AB41" i="20"/>
  <c r="AA41" i="20"/>
  <c r="Q40" i="20"/>
  <c r="R40" i="20"/>
  <c r="S40" i="20"/>
  <c r="T40" i="20"/>
  <c r="V40" i="20"/>
  <c r="U40" i="20"/>
  <c r="X40" i="20"/>
  <c r="W40" i="20"/>
  <c r="Y40" i="20"/>
  <c r="Z40" i="20"/>
  <c r="AB40" i="20"/>
  <c r="AA40" i="20"/>
  <c r="Q39" i="20"/>
  <c r="R39" i="20"/>
  <c r="S39" i="20"/>
  <c r="T39" i="20"/>
  <c r="V39" i="20"/>
  <c r="U39" i="20"/>
  <c r="X39" i="20"/>
  <c r="W39" i="20"/>
  <c r="Y39" i="20"/>
  <c r="Z39" i="20"/>
  <c r="AB39" i="20"/>
  <c r="AA39" i="20"/>
  <c r="Q38" i="20"/>
  <c r="R38" i="20"/>
  <c r="S38" i="20"/>
  <c r="T38" i="20"/>
  <c r="V38" i="20"/>
  <c r="U38" i="20"/>
  <c r="X38" i="20"/>
  <c r="W38" i="20"/>
  <c r="Y38" i="20"/>
  <c r="Z38" i="20"/>
  <c r="AB38" i="20"/>
  <c r="AA38" i="20"/>
  <c r="Q37" i="20"/>
  <c r="R37" i="20"/>
  <c r="S37" i="20"/>
  <c r="T37" i="20"/>
  <c r="V37" i="20"/>
  <c r="U37" i="20"/>
  <c r="X37" i="20"/>
  <c r="W37" i="20"/>
  <c r="Y37" i="20"/>
  <c r="Z37" i="20"/>
  <c r="AB37" i="20"/>
  <c r="AA37" i="20"/>
  <c r="Q36" i="20"/>
  <c r="R36" i="20"/>
  <c r="S36" i="20"/>
  <c r="T36" i="20"/>
  <c r="V36" i="20"/>
  <c r="U36" i="20"/>
  <c r="X36" i="20"/>
  <c r="W36" i="20"/>
  <c r="Y36" i="20"/>
  <c r="Z36" i="20"/>
  <c r="AB36" i="20"/>
  <c r="AA36" i="20"/>
  <c r="Q35" i="20"/>
  <c r="R35" i="20"/>
  <c r="S35" i="20"/>
  <c r="T35" i="20"/>
  <c r="V35" i="20"/>
  <c r="U35" i="20"/>
  <c r="X35" i="20"/>
  <c r="W35" i="20"/>
  <c r="Y35" i="20"/>
  <c r="Z35" i="20"/>
  <c r="AB35" i="20"/>
  <c r="AA35" i="20"/>
  <c r="Q34" i="20"/>
  <c r="R34" i="20"/>
  <c r="S34" i="20"/>
  <c r="T34" i="20"/>
  <c r="V34" i="20"/>
  <c r="U34" i="20"/>
  <c r="X34" i="20"/>
  <c r="W34" i="20"/>
  <c r="Y34" i="20"/>
  <c r="Z34" i="20"/>
  <c r="AB34" i="20"/>
  <c r="AA34" i="20"/>
  <c r="Q33" i="20"/>
  <c r="R33" i="20"/>
  <c r="S33" i="20"/>
  <c r="T33" i="20"/>
  <c r="V33" i="20"/>
  <c r="U33" i="20"/>
  <c r="X33" i="20"/>
  <c r="W33" i="20"/>
  <c r="Y33" i="20"/>
  <c r="Z33" i="20"/>
  <c r="AB33" i="20"/>
  <c r="AA33" i="20"/>
  <c r="Q32" i="20"/>
  <c r="R32" i="20"/>
  <c r="S32" i="20"/>
  <c r="T32" i="20"/>
  <c r="V32" i="20"/>
  <c r="U32" i="20"/>
  <c r="X32" i="20"/>
  <c r="W32" i="20"/>
  <c r="Y32" i="20"/>
  <c r="Z32" i="20"/>
  <c r="AB32" i="20"/>
  <c r="AA32" i="20"/>
  <c r="Q31" i="20"/>
  <c r="R31" i="20"/>
  <c r="S31" i="20"/>
  <c r="T31" i="20"/>
  <c r="V31" i="20"/>
  <c r="U31" i="20"/>
  <c r="X31" i="20"/>
  <c r="W31" i="20"/>
  <c r="Y31" i="20"/>
  <c r="Z31" i="20"/>
  <c r="AB31" i="20"/>
  <c r="AA31" i="20"/>
  <c r="Q30" i="20"/>
  <c r="R30" i="20"/>
  <c r="S30" i="20"/>
  <c r="T30" i="20"/>
  <c r="V30" i="20"/>
  <c r="U30" i="20"/>
  <c r="X30" i="20"/>
  <c r="W30" i="20"/>
  <c r="Y30" i="20"/>
  <c r="Z30" i="20"/>
  <c r="AB30" i="20"/>
  <c r="AA30" i="20"/>
  <c r="Q29" i="20"/>
  <c r="R29" i="20"/>
  <c r="S29" i="20"/>
  <c r="T29" i="20"/>
  <c r="V29" i="20"/>
  <c r="U29" i="20"/>
  <c r="X29" i="20"/>
  <c r="W29" i="20"/>
  <c r="Y29" i="20"/>
  <c r="Z29" i="20"/>
  <c r="AB29" i="20"/>
  <c r="AA29" i="20"/>
  <c r="Q28" i="20"/>
  <c r="R28" i="20"/>
  <c r="S28" i="20"/>
  <c r="T28" i="20"/>
  <c r="V28" i="20"/>
  <c r="U28" i="20"/>
  <c r="X28" i="20"/>
  <c r="W28" i="20"/>
  <c r="Y28" i="20"/>
  <c r="Z28" i="20"/>
  <c r="AB28" i="20"/>
  <c r="AA28" i="20"/>
  <c r="Q27" i="20"/>
  <c r="R27" i="20"/>
  <c r="S27" i="20"/>
  <c r="T27" i="20"/>
  <c r="V27" i="20"/>
  <c r="U27" i="20"/>
  <c r="X27" i="20"/>
  <c r="W27" i="20"/>
  <c r="Y27" i="20"/>
  <c r="Z27" i="20"/>
  <c r="AB27" i="20"/>
  <c r="AA27" i="20"/>
  <c r="Q26" i="20"/>
  <c r="R26" i="20"/>
  <c r="S26" i="20"/>
  <c r="T26" i="20"/>
  <c r="V26" i="20"/>
  <c r="U26" i="20"/>
  <c r="X26" i="20"/>
  <c r="W26" i="20"/>
  <c r="Y26" i="20"/>
  <c r="Z26" i="20"/>
  <c r="AB26" i="20"/>
  <c r="AA26" i="20"/>
  <c r="Q25" i="20"/>
  <c r="R25" i="20"/>
  <c r="S25" i="20"/>
  <c r="T25" i="20"/>
  <c r="V25" i="20"/>
  <c r="U25" i="20"/>
  <c r="X25" i="20"/>
  <c r="W25" i="20"/>
  <c r="Y25" i="20"/>
  <c r="Z25" i="20"/>
  <c r="AB25" i="20"/>
  <c r="AA25" i="20"/>
  <c r="Q24" i="20"/>
  <c r="R24" i="20"/>
  <c r="S24" i="20"/>
  <c r="T24" i="20"/>
  <c r="V24" i="20"/>
  <c r="U24" i="20"/>
  <c r="X24" i="20"/>
  <c r="W24" i="20"/>
  <c r="Y24" i="20"/>
  <c r="Z24" i="20"/>
  <c r="AB24" i="20"/>
  <c r="AA24" i="20"/>
  <c r="Q23" i="20"/>
  <c r="R23" i="20"/>
  <c r="S23" i="20"/>
  <c r="T23" i="20"/>
  <c r="V23" i="20"/>
  <c r="U23" i="20"/>
  <c r="X23" i="20"/>
  <c r="W23" i="20"/>
  <c r="Y23" i="20"/>
  <c r="Z23" i="20"/>
  <c r="AB23" i="20"/>
  <c r="AA23" i="20"/>
  <c r="Q22" i="20"/>
  <c r="R22" i="20"/>
  <c r="S22" i="20"/>
  <c r="T22" i="20"/>
  <c r="V22" i="20"/>
  <c r="U22" i="20"/>
  <c r="X22" i="20"/>
  <c r="W22" i="20"/>
  <c r="Y22" i="20"/>
  <c r="Z22" i="20"/>
  <c r="AB22" i="20"/>
  <c r="AA22" i="20"/>
  <c r="Q21" i="20"/>
  <c r="R21" i="20"/>
  <c r="S21" i="20"/>
  <c r="T21" i="20"/>
  <c r="V21" i="20"/>
  <c r="U21" i="20"/>
  <c r="X21" i="20"/>
  <c r="W21" i="20"/>
  <c r="Y21" i="20"/>
  <c r="Z21" i="20"/>
  <c r="AB21" i="20"/>
  <c r="AA21" i="20"/>
  <c r="Q20" i="20"/>
  <c r="R20" i="20"/>
  <c r="S20" i="20"/>
  <c r="T20" i="20"/>
  <c r="V20" i="20"/>
  <c r="U20" i="20"/>
  <c r="X20" i="20"/>
  <c r="W20" i="20"/>
  <c r="Y20" i="20"/>
  <c r="Z20" i="20"/>
  <c r="AB20" i="20"/>
  <c r="AA20" i="20"/>
  <c r="Q19" i="20"/>
  <c r="R19" i="20"/>
  <c r="S19" i="20"/>
  <c r="T19" i="20"/>
  <c r="V19" i="20"/>
  <c r="U19" i="20"/>
  <c r="X19" i="20"/>
  <c r="W19" i="20"/>
  <c r="Y19" i="20"/>
  <c r="Z19" i="20"/>
  <c r="AB19" i="20"/>
  <c r="AA19" i="20"/>
  <c r="Q18" i="20"/>
  <c r="R18" i="20"/>
  <c r="S18" i="20"/>
  <c r="T18" i="20"/>
  <c r="V18" i="20"/>
  <c r="U18" i="20"/>
  <c r="X18" i="20"/>
  <c r="W18" i="20"/>
  <c r="Y18" i="20"/>
  <c r="Z18" i="20"/>
  <c r="AB18" i="20"/>
  <c r="AA18" i="20"/>
  <c r="Q17" i="20"/>
  <c r="R17" i="20"/>
  <c r="S17" i="20"/>
  <c r="T17" i="20"/>
  <c r="V17" i="20"/>
  <c r="U17" i="20"/>
  <c r="X17" i="20"/>
  <c r="W17" i="20"/>
  <c r="Y17" i="20"/>
  <c r="Z17" i="20"/>
  <c r="AB17" i="20"/>
  <c r="AA17" i="20"/>
  <c r="Q16" i="20"/>
  <c r="R16" i="20"/>
  <c r="S16" i="20"/>
  <c r="T16" i="20"/>
  <c r="V16" i="20"/>
  <c r="U16" i="20"/>
  <c r="X16" i="20"/>
  <c r="W16" i="20"/>
  <c r="Y16" i="20"/>
  <c r="Z16" i="20"/>
  <c r="AB16" i="20"/>
  <c r="AA16" i="20"/>
  <c r="Q15" i="20"/>
  <c r="R15" i="20"/>
  <c r="S15" i="20"/>
  <c r="T15" i="20"/>
  <c r="V15" i="20"/>
  <c r="U15" i="20"/>
  <c r="X15" i="20"/>
  <c r="W15" i="20"/>
  <c r="Y15" i="20"/>
  <c r="Z15" i="20"/>
  <c r="AB15" i="20"/>
  <c r="AA15" i="20"/>
  <c r="Q14" i="20"/>
  <c r="R14" i="20"/>
  <c r="S14" i="20"/>
  <c r="T14" i="20"/>
  <c r="V14" i="20"/>
  <c r="U14" i="20"/>
  <c r="X14" i="20"/>
  <c r="W14" i="20"/>
  <c r="Y14" i="20"/>
  <c r="Z14" i="20"/>
  <c r="AB14" i="20"/>
  <c r="Q13" i="20"/>
  <c r="R13" i="20"/>
  <c r="S13" i="20"/>
  <c r="T13" i="20"/>
  <c r="V13" i="20"/>
  <c r="U13" i="20"/>
  <c r="X13" i="20"/>
  <c r="AB13" i="20"/>
  <c r="D122" i="20"/>
  <c r="E122" i="20"/>
  <c r="F122" i="20"/>
  <c r="G122" i="20"/>
  <c r="I122" i="20"/>
  <c r="H122" i="20"/>
  <c r="K122" i="20"/>
  <c r="J122" i="20"/>
  <c r="L122" i="20"/>
  <c r="M122" i="20"/>
  <c r="O122" i="20"/>
  <c r="D121" i="20"/>
  <c r="E121" i="20"/>
  <c r="F121" i="20"/>
  <c r="G121" i="20"/>
  <c r="I121" i="20"/>
  <c r="H121" i="20"/>
  <c r="K121" i="20"/>
  <c r="J121" i="20"/>
  <c r="L121" i="20"/>
  <c r="M121" i="20"/>
  <c r="O121" i="20"/>
  <c r="D120" i="20"/>
  <c r="E120" i="20"/>
  <c r="F120" i="20"/>
  <c r="G120" i="20"/>
  <c r="I120" i="20"/>
  <c r="H120" i="20"/>
  <c r="K120" i="20"/>
  <c r="J120" i="20"/>
  <c r="L120" i="20"/>
  <c r="M120" i="20"/>
  <c r="O120" i="20"/>
  <c r="D119" i="20"/>
  <c r="E119" i="20"/>
  <c r="F119" i="20"/>
  <c r="G119" i="20"/>
  <c r="I119" i="20"/>
  <c r="H119" i="20"/>
  <c r="K119" i="20"/>
  <c r="J119" i="20"/>
  <c r="L119" i="20"/>
  <c r="M119" i="20"/>
  <c r="O119" i="20"/>
  <c r="D118" i="20"/>
  <c r="E118" i="20"/>
  <c r="F118" i="20"/>
  <c r="G118" i="20"/>
  <c r="I118" i="20"/>
  <c r="H118" i="20"/>
  <c r="K118" i="20"/>
  <c r="J118" i="20"/>
  <c r="L118" i="20"/>
  <c r="M118" i="20"/>
  <c r="O118" i="20"/>
  <c r="D117" i="20"/>
  <c r="E117" i="20"/>
  <c r="F117" i="20"/>
  <c r="G117" i="20"/>
  <c r="I117" i="20"/>
  <c r="H117" i="20"/>
  <c r="K117" i="20"/>
  <c r="J117" i="20"/>
  <c r="L117" i="20"/>
  <c r="M117" i="20"/>
  <c r="O117" i="20"/>
  <c r="D116" i="20"/>
  <c r="E116" i="20"/>
  <c r="F116" i="20"/>
  <c r="G116" i="20"/>
  <c r="I116" i="20"/>
  <c r="H116" i="20"/>
  <c r="K116" i="20"/>
  <c r="J116" i="20"/>
  <c r="L116" i="20"/>
  <c r="M116" i="20"/>
  <c r="O116" i="20"/>
  <c r="D115" i="20"/>
  <c r="E115" i="20"/>
  <c r="F115" i="20"/>
  <c r="G115" i="20"/>
  <c r="I115" i="20"/>
  <c r="H115" i="20"/>
  <c r="K115" i="20"/>
  <c r="J115" i="20"/>
  <c r="L115" i="20"/>
  <c r="M115" i="20"/>
  <c r="O115" i="20"/>
  <c r="D114" i="20"/>
  <c r="E114" i="20"/>
  <c r="F114" i="20"/>
  <c r="G114" i="20"/>
  <c r="I114" i="20"/>
  <c r="H114" i="20"/>
  <c r="K114" i="20"/>
  <c r="J114" i="20"/>
  <c r="L114" i="20"/>
  <c r="M114" i="20"/>
  <c r="O114" i="20"/>
  <c r="D113" i="20"/>
  <c r="E113" i="20"/>
  <c r="F113" i="20"/>
  <c r="G113" i="20"/>
  <c r="I113" i="20"/>
  <c r="H113" i="20"/>
  <c r="K113" i="20"/>
  <c r="J113" i="20"/>
  <c r="L113" i="20"/>
  <c r="M113" i="20"/>
  <c r="O113" i="20"/>
  <c r="D112" i="20"/>
  <c r="E112" i="20"/>
  <c r="F112" i="20"/>
  <c r="G112" i="20"/>
  <c r="I112" i="20"/>
  <c r="H112" i="20"/>
  <c r="K112" i="20"/>
  <c r="J112" i="20"/>
  <c r="L112" i="20"/>
  <c r="M112" i="20"/>
  <c r="O112" i="20"/>
  <c r="D111" i="20"/>
  <c r="E111" i="20"/>
  <c r="F111" i="20"/>
  <c r="G111" i="20"/>
  <c r="I111" i="20"/>
  <c r="H111" i="20"/>
  <c r="K111" i="20"/>
  <c r="J111" i="20"/>
  <c r="L111" i="20"/>
  <c r="M111" i="20"/>
  <c r="O111" i="20"/>
  <c r="D110" i="20"/>
  <c r="E110" i="20"/>
  <c r="F110" i="20"/>
  <c r="G110" i="20"/>
  <c r="I110" i="20"/>
  <c r="H110" i="20"/>
  <c r="K110" i="20"/>
  <c r="J110" i="20"/>
  <c r="L110" i="20"/>
  <c r="M110" i="20"/>
  <c r="O110" i="20"/>
  <c r="D109" i="20"/>
  <c r="E109" i="20"/>
  <c r="F109" i="20"/>
  <c r="G109" i="20"/>
  <c r="I109" i="20"/>
  <c r="H109" i="20"/>
  <c r="K109" i="20"/>
  <c r="J109" i="20"/>
  <c r="L109" i="20"/>
  <c r="M109" i="20"/>
  <c r="O109" i="20"/>
  <c r="D108" i="20"/>
  <c r="E108" i="20"/>
  <c r="F108" i="20"/>
  <c r="G108" i="20"/>
  <c r="I108" i="20"/>
  <c r="H108" i="20"/>
  <c r="K108" i="20"/>
  <c r="J108" i="20"/>
  <c r="L108" i="20"/>
  <c r="M108" i="20"/>
  <c r="O108" i="20"/>
  <c r="D107" i="20"/>
  <c r="E107" i="20"/>
  <c r="F107" i="20"/>
  <c r="G107" i="20"/>
  <c r="I107" i="20"/>
  <c r="H107" i="20"/>
  <c r="K107" i="20"/>
  <c r="J107" i="20"/>
  <c r="L107" i="20"/>
  <c r="M107" i="20"/>
  <c r="O107" i="20"/>
  <c r="D106" i="20"/>
  <c r="E106" i="20"/>
  <c r="F106" i="20"/>
  <c r="G106" i="20"/>
  <c r="I106" i="20"/>
  <c r="H106" i="20"/>
  <c r="K106" i="20"/>
  <c r="J106" i="20"/>
  <c r="L106" i="20"/>
  <c r="M106" i="20"/>
  <c r="O106" i="20"/>
  <c r="D105" i="20"/>
  <c r="E105" i="20"/>
  <c r="F105" i="20"/>
  <c r="G105" i="20"/>
  <c r="I105" i="20"/>
  <c r="H105" i="20"/>
  <c r="K105" i="20"/>
  <c r="J105" i="20"/>
  <c r="L105" i="20"/>
  <c r="M105" i="20"/>
  <c r="O105" i="20"/>
  <c r="D104" i="20"/>
  <c r="E104" i="20"/>
  <c r="F104" i="20"/>
  <c r="G104" i="20"/>
  <c r="I104" i="20"/>
  <c r="H104" i="20"/>
  <c r="K104" i="20"/>
  <c r="J104" i="20"/>
  <c r="L104" i="20"/>
  <c r="M104" i="20"/>
  <c r="O104" i="20"/>
  <c r="D103" i="20"/>
  <c r="E103" i="20"/>
  <c r="F103" i="20"/>
  <c r="G103" i="20"/>
  <c r="I103" i="20"/>
  <c r="H103" i="20"/>
  <c r="K103" i="20"/>
  <c r="J103" i="20"/>
  <c r="L103" i="20"/>
  <c r="M103" i="20"/>
  <c r="O103" i="20"/>
  <c r="D102" i="20"/>
  <c r="E102" i="20"/>
  <c r="F102" i="20"/>
  <c r="G102" i="20"/>
  <c r="I102" i="20"/>
  <c r="H102" i="20"/>
  <c r="K102" i="20"/>
  <c r="J102" i="20"/>
  <c r="L102" i="20"/>
  <c r="M102" i="20"/>
  <c r="O102" i="20"/>
  <c r="D101" i="20"/>
  <c r="E101" i="20"/>
  <c r="F101" i="20"/>
  <c r="G101" i="20"/>
  <c r="I101" i="20"/>
  <c r="H101" i="20"/>
  <c r="K101" i="20"/>
  <c r="J101" i="20"/>
  <c r="L101" i="20"/>
  <c r="M101" i="20"/>
  <c r="O101" i="20"/>
  <c r="D100" i="20"/>
  <c r="E100" i="20"/>
  <c r="F100" i="20"/>
  <c r="G100" i="20"/>
  <c r="I100" i="20"/>
  <c r="H100" i="20"/>
  <c r="K100" i="20"/>
  <c r="J100" i="20"/>
  <c r="L100" i="20"/>
  <c r="M100" i="20"/>
  <c r="O100" i="20"/>
  <c r="D99" i="20"/>
  <c r="E99" i="20"/>
  <c r="F99" i="20"/>
  <c r="G99" i="20"/>
  <c r="I99" i="20"/>
  <c r="H99" i="20"/>
  <c r="K99" i="20"/>
  <c r="J99" i="20"/>
  <c r="L99" i="20"/>
  <c r="M99" i="20"/>
  <c r="O99" i="20"/>
  <c r="D98" i="20"/>
  <c r="E98" i="20"/>
  <c r="F98" i="20"/>
  <c r="G98" i="20"/>
  <c r="I98" i="20"/>
  <c r="H98" i="20"/>
  <c r="K98" i="20"/>
  <c r="J98" i="20"/>
  <c r="L98" i="20"/>
  <c r="M98" i="20"/>
  <c r="O98" i="20"/>
  <c r="D97" i="20"/>
  <c r="E97" i="20"/>
  <c r="F97" i="20"/>
  <c r="G97" i="20"/>
  <c r="I97" i="20"/>
  <c r="H97" i="20"/>
  <c r="K97" i="20"/>
  <c r="J97" i="20"/>
  <c r="L97" i="20"/>
  <c r="M97" i="20"/>
  <c r="O97" i="20"/>
  <c r="D96" i="20"/>
  <c r="E96" i="20"/>
  <c r="F96" i="20"/>
  <c r="G96" i="20"/>
  <c r="I96" i="20"/>
  <c r="H96" i="20"/>
  <c r="K96" i="20"/>
  <c r="J96" i="20"/>
  <c r="L96" i="20"/>
  <c r="M96" i="20"/>
  <c r="O96" i="20"/>
  <c r="D95" i="20"/>
  <c r="E95" i="20"/>
  <c r="F95" i="20"/>
  <c r="G95" i="20"/>
  <c r="I95" i="20"/>
  <c r="H95" i="20"/>
  <c r="K95" i="20"/>
  <c r="J95" i="20"/>
  <c r="L95" i="20"/>
  <c r="M95" i="20"/>
  <c r="O95" i="20"/>
  <c r="D94" i="20"/>
  <c r="E94" i="20"/>
  <c r="F94" i="20"/>
  <c r="G94" i="20"/>
  <c r="I94" i="20"/>
  <c r="H94" i="20"/>
  <c r="K94" i="20"/>
  <c r="J94" i="20"/>
  <c r="L94" i="20"/>
  <c r="M94" i="20"/>
  <c r="O94" i="20"/>
  <c r="D93" i="20"/>
  <c r="E93" i="20"/>
  <c r="F93" i="20"/>
  <c r="G93" i="20"/>
  <c r="I93" i="20"/>
  <c r="H93" i="20"/>
  <c r="K93" i="20"/>
  <c r="J93" i="20"/>
  <c r="L93" i="20"/>
  <c r="M93" i="20"/>
  <c r="O93" i="20"/>
  <c r="D92" i="20"/>
  <c r="E92" i="20"/>
  <c r="F92" i="20"/>
  <c r="G92" i="20"/>
  <c r="I92" i="20"/>
  <c r="H92" i="20"/>
  <c r="K92" i="20"/>
  <c r="J92" i="20"/>
  <c r="L92" i="20"/>
  <c r="M92" i="20"/>
  <c r="O92" i="20"/>
  <c r="D91" i="20"/>
  <c r="E91" i="20"/>
  <c r="F91" i="20"/>
  <c r="G91" i="20"/>
  <c r="I91" i="20"/>
  <c r="H91" i="20"/>
  <c r="K91" i="20"/>
  <c r="J91" i="20"/>
  <c r="L91" i="20"/>
  <c r="M91" i="20"/>
  <c r="O91" i="20"/>
  <c r="D90" i="20"/>
  <c r="E90" i="20"/>
  <c r="F90" i="20"/>
  <c r="G90" i="20"/>
  <c r="I90" i="20"/>
  <c r="H90" i="20"/>
  <c r="K90" i="20"/>
  <c r="J90" i="20"/>
  <c r="L90" i="20"/>
  <c r="M90" i="20"/>
  <c r="O90" i="20"/>
  <c r="D89" i="20"/>
  <c r="E89" i="20"/>
  <c r="F89" i="20"/>
  <c r="G89" i="20"/>
  <c r="I89" i="20"/>
  <c r="H89" i="20"/>
  <c r="K89" i="20"/>
  <c r="J89" i="20"/>
  <c r="L89" i="20"/>
  <c r="M89" i="20"/>
  <c r="O89" i="20"/>
  <c r="D88" i="20"/>
  <c r="E88" i="20"/>
  <c r="F88" i="20"/>
  <c r="G88" i="20"/>
  <c r="I88" i="20"/>
  <c r="H88" i="20"/>
  <c r="K88" i="20"/>
  <c r="J88" i="20"/>
  <c r="L88" i="20"/>
  <c r="M88" i="20"/>
  <c r="O88" i="20"/>
  <c r="D87" i="20"/>
  <c r="E87" i="20"/>
  <c r="F87" i="20"/>
  <c r="G87" i="20"/>
  <c r="I87" i="20"/>
  <c r="H87" i="20"/>
  <c r="K87" i="20"/>
  <c r="J87" i="20"/>
  <c r="L87" i="20"/>
  <c r="M87" i="20"/>
  <c r="O87" i="20"/>
  <c r="D86" i="20"/>
  <c r="E86" i="20"/>
  <c r="F86" i="20"/>
  <c r="G86" i="20"/>
  <c r="I86" i="20"/>
  <c r="H86" i="20"/>
  <c r="K86" i="20"/>
  <c r="J86" i="20"/>
  <c r="L86" i="20"/>
  <c r="M86" i="20"/>
  <c r="O86" i="20"/>
  <c r="D85" i="20"/>
  <c r="E85" i="20"/>
  <c r="F85" i="20"/>
  <c r="G85" i="20"/>
  <c r="I85" i="20"/>
  <c r="H85" i="20"/>
  <c r="K85" i="20"/>
  <c r="J85" i="20"/>
  <c r="L85" i="20"/>
  <c r="M85" i="20"/>
  <c r="O85" i="20"/>
  <c r="D84" i="20"/>
  <c r="E84" i="20"/>
  <c r="F84" i="20"/>
  <c r="G84" i="20"/>
  <c r="I84" i="20"/>
  <c r="H84" i="20"/>
  <c r="K84" i="20"/>
  <c r="J84" i="20"/>
  <c r="L84" i="20"/>
  <c r="M84" i="20"/>
  <c r="O84" i="20"/>
  <c r="D83" i="20"/>
  <c r="E83" i="20"/>
  <c r="F83" i="20"/>
  <c r="G83" i="20"/>
  <c r="I83" i="20"/>
  <c r="H83" i="20"/>
  <c r="K83" i="20"/>
  <c r="J83" i="20"/>
  <c r="L83" i="20"/>
  <c r="M83" i="20"/>
  <c r="O83" i="20"/>
  <c r="D82" i="20"/>
  <c r="E82" i="20"/>
  <c r="F82" i="20"/>
  <c r="G82" i="20"/>
  <c r="I82" i="20"/>
  <c r="H82" i="20"/>
  <c r="K82" i="20"/>
  <c r="J82" i="20"/>
  <c r="L82" i="20"/>
  <c r="M82" i="20"/>
  <c r="O82" i="20"/>
  <c r="D81" i="20"/>
  <c r="E81" i="20"/>
  <c r="F81" i="20"/>
  <c r="G81" i="20"/>
  <c r="I81" i="20"/>
  <c r="H81" i="20"/>
  <c r="K81" i="20"/>
  <c r="J81" i="20"/>
  <c r="L81" i="20"/>
  <c r="M81" i="20"/>
  <c r="O81" i="20"/>
  <c r="D80" i="20"/>
  <c r="E80" i="20"/>
  <c r="F80" i="20"/>
  <c r="G80" i="20"/>
  <c r="I80" i="20"/>
  <c r="H80" i="20"/>
  <c r="K80" i="20"/>
  <c r="J80" i="20"/>
  <c r="L80" i="20"/>
  <c r="M80" i="20"/>
  <c r="O80" i="20"/>
  <c r="D79" i="20"/>
  <c r="E79" i="20"/>
  <c r="F79" i="20"/>
  <c r="G79" i="20"/>
  <c r="I79" i="20"/>
  <c r="H79" i="20"/>
  <c r="K79" i="20"/>
  <c r="J79" i="20"/>
  <c r="L79" i="20"/>
  <c r="M79" i="20"/>
  <c r="O79" i="20"/>
  <c r="D78" i="20"/>
  <c r="E78" i="20"/>
  <c r="F78" i="20"/>
  <c r="G78" i="20"/>
  <c r="I78" i="20"/>
  <c r="H78" i="20"/>
  <c r="K78" i="20"/>
  <c r="J78" i="20"/>
  <c r="L78" i="20"/>
  <c r="M78" i="20"/>
  <c r="O78" i="20"/>
  <c r="D77" i="20"/>
  <c r="E77" i="20"/>
  <c r="F77" i="20"/>
  <c r="G77" i="20"/>
  <c r="I77" i="20"/>
  <c r="H77" i="20"/>
  <c r="K77" i="20"/>
  <c r="J77" i="20"/>
  <c r="L77" i="20"/>
  <c r="M77" i="20"/>
  <c r="O77" i="20"/>
  <c r="D76" i="20"/>
  <c r="E76" i="20"/>
  <c r="F76" i="20"/>
  <c r="G76" i="20"/>
  <c r="I76" i="20"/>
  <c r="H76" i="20"/>
  <c r="K76" i="20"/>
  <c r="J76" i="20"/>
  <c r="L76" i="20"/>
  <c r="M76" i="20"/>
  <c r="O76" i="20"/>
  <c r="D75" i="20"/>
  <c r="E75" i="20"/>
  <c r="F75" i="20"/>
  <c r="G75" i="20"/>
  <c r="I75" i="20"/>
  <c r="H75" i="20"/>
  <c r="K75" i="20"/>
  <c r="J75" i="20"/>
  <c r="L75" i="20"/>
  <c r="M75" i="20"/>
  <c r="O75" i="20"/>
  <c r="D74" i="20"/>
  <c r="E74" i="20"/>
  <c r="F74" i="20"/>
  <c r="G74" i="20"/>
  <c r="I74" i="20"/>
  <c r="H74" i="20"/>
  <c r="K74" i="20"/>
  <c r="J74" i="20"/>
  <c r="L74" i="20"/>
  <c r="M74" i="20"/>
  <c r="O74" i="20"/>
  <c r="D73" i="20"/>
  <c r="E73" i="20"/>
  <c r="F73" i="20"/>
  <c r="G73" i="20"/>
  <c r="I73" i="20"/>
  <c r="H73" i="20"/>
  <c r="K73" i="20"/>
  <c r="J73" i="20"/>
  <c r="L73" i="20"/>
  <c r="M73" i="20"/>
  <c r="O73" i="20"/>
  <c r="D72" i="20"/>
  <c r="E72" i="20"/>
  <c r="F72" i="20"/>
  <c r="G72" i="20"/>
  <c r="I72" i="20"/>
  <c r="H72" i="20"/>
  <c r="K72" i="20"/>
  <c r="J72" i="20"/>
  <c r="L72" i="20"/>
  <c r="M72" i="20"/>
  <c r="O72" i="20"/>
  <c r="D71" i="20"/>
  <c r="E71" i="20"/>
  <c r="F71" i="20"/>
  <c r="G71" i="20"/>
  <c r="I71" i="20"/>
  <c r="H71" i="20"/>
  <c r="K71" i="20"/>
  <c r="J71" i="20"/>
  <c r="L71" i="20"/>
  <c r="M71" i="20"/>
  <c r="O71" i="20"/>
  <c r="D70" i="20"/>
  <c r="E70" i="20"/>
  <c r="F70" i="20"/>
  <c r="G70" i="20"/>
  <c r="I70" i="20"/>
  <c r="H70" i="20"/>
  <c r="K70" i="20"/>
  <c r="J70" i="20"/>
  <c r="L70" i="20"/>
  <c r="M70" i="20"/>
  <c r="O70" i="20"/>
  <c r="D69" i="20"/>
  <c r="E69" i="20"/>
  <c r="F69" i="20"/>
  <c r="G69" i="20"/>
  <c r="I69" i="20"/>
  <c r="H69" i="20"/>
  <c r="K69" i="20"/>
  <c r="J69" i="20"/>
  <c r="L69" i="20"/>
  <c r="M69" i="20"/>
  <c r="O69" i="20"/>
  <c r="D68" i="20"/>
  <c r="E68" i="20"/>
  <c r="F68" i="20"/>
  <c r="G68" i="20"/>
  <c r="I68" i="20"/>
  <c r="H68" i="20"/>
  <c r="K68" i="20"/>
  <c r="J68" i="20"/>
  <c r="L68" i="20"/>
  <c r="M68" i="20"/>
  <c r="O68" i="20"/>
  <c r="D67" i="20"/>
  <c r="E67" i="20"/>
  <c r="F67" i="20"/>
  <c r="G67" i="20"/>
  <c r="I67" i="20"/>
  <c r="H67" i="20"/>
  <c r="K67" i="20"/>
  <c r="J67" i="20"/>
  <c r="L67" i="20"/>
  <c r="M67" i="20"/>
  <c r="O67" i="20"/>
  <c r="D66" i="20"/>
  <c r="E66" i="20"/>
  <c r="F66" i="20"/>
  <c r="G66" i="20"/>
  <c r="I66" i="20"/>
  <c r="H66" i="20"/>
  <c r="K66" i="20"/>
  <c r="J66" i="20"/>
  <c r="L66" i="20"/>
  <c r="M66" i="20"/>
  <c r="O66" i="20"/>
  <c r="D65" i="20"/>
  <c r="E65" i="20"/>
  <c r="F65" i="20"/>
  <c r="G65" i="20"/>
  <c r="I65" i="20"/>
  <c r="H65" i="20"/>
  <c r="K65" i="20"/>
  <c r="J65" i="20"/>
  <c r="L65" i="20"/>
  <c r="M65" i="20"/>
  <c r="O65" i="20"/>
  <c r="D64" i="20"/>
  <c r="E64" i="20"/>
  <c r="F64" i="20"/>
  <c r="G64" i="20"/>
  <c r="I64" i="20"/>
  <c r="H64" i="20"/>
  <c r="K64" i="20"/>
  <c r="J64" i="20"/>
  <c r="L64" i="20"/>
  <c r="M64" i="20"/>
  <c r="O64" i="20"/>
  <c r="D63" i="20"/>
  <c r="E63" i="20"/>
  <c r="F63" i="20"/>
  <c r="G63" i="20"/>
  <c r="I63" i="20"/>
  <c r="H63" i="20"/>
  <c r="K63" i="20"/>
  <c r="J63" i="20"/>
  <c r="L63" i="20"/>
  <c r="M63" i="20"/>
  <c r="O63" i="20"/>
  <c r="D62" i="20"/>
  <c r="E62" i="20"/>
  <c r="F62" i="20"/>
  <c r="G62" i="20"/>
  <c r="I62" i="20"/>
  <c r="H62" i="20"/>
  <c r="K62" i="20"/>
  <c r="J62" i="20"/>
  <c r="L62" i="20"/>
  <c r="M62" i="20"/>
  <c r="O62" i="20"/>
  <c r="D61" i="20"/>
  <c r="E61" i="20"/>
  <c r="F61" i="20"/>
  <c r="G61" i="20"/>
  <c r="I61" i="20"/>
  <c r="H61" i="20"/>
  <c r="K61" i="20"/>
  <c r="J61" i="20"/>
  <c r="L61" i="20"/>
  <c r="M61" i="20"/>
  <c r="O61" i="20"/>
  <c r="D60" i="20"/>
  <c r="E60" i="20"/>
  <c r="F60" i="20"/>
  <c r="G60" i="20"/>
  <c r="I60" i="20"/>
  <c r="H60" i="20"/>
  <c r="K60" i="20"/>
  <c r="J60" i="20"/>
  <c r="L60" i="20"/>
  <c r="M60" i="20"/>
  <c r="O60" i="20"/>
  <c r="D59" i="20"/>
  <c r="E59" i="20"/>
  <c r="F59" i="20"/>
  <c r="G59" i="20"/>
  <c r="I59" i="20"/>
  <c r="H59" i="20"/>
  <c r="K59" i="20"/>
  <c r="J59" i="20"/>
  <c r="L59" i="20"/>
  <c r="M59" i="20"/>
  <c r="O59" i="20"/>
  <c r="D58" i="20"/>
  <c r="E58" i="20"/>
  <c r="F58" i="20"/>
  <c r="G58" i="20"/>
  <c r="I58" i="20"/>
  <c r="H58" i="20"/>
  <c r="K58" i="20"/>
  <c r="J58" i="20"/>
  <c r="L58" i="20"/>
  <c r="M58" i="20"/>
  <c r="O58" i="20"/>
  <c r="D57" i="20"/>
  <c r="E57" i="20"/>
  <c r="F57" i="20"/>
  <c r="G57" i="20"/>
  <c r="I57" i="20"/>
  <c r="H57" i="20"/>
  <c r="K57" i="20"/>
  <c r="J57" i="20"/>
  <c r="L57" i="20"/>
  <c r="M57" i="20"/>
  <c r="O57" i="20"/>
  <c r="D56" i="20"/>
  <c r="E56" i="20"/>
  <c r="F56" i="20"/>
  <c r="G56" i="20"/>
  <c r="I56" i="20"/>
  <c r="H56" i="20"/>
  <c r="K56" i="20"/>
  <c r="J56" i="20"/>
  <c r="L56" i="20"/>
  <c r="M56" i="20"/>
  <c r="O56" i="20"/>
  <c r="D55" i="20"/>
  <c r="E55" i="20"/>
  <c r="F55" i="20"/>
  <c r="G55" i="20"/>
  <c r="I55" i="20"/>
  <c r="H55" i="20"/>
  <c r="K55" i="20"/>
  <c r="J55" i="20"/>
  <c r="L55" i="20"/>
  <c r="M55" i="20"/>
  <c r="O55" i="20"/>
  <c r="D54" i="20"/>
  <c r="E54" i="20"/>
  <c r="F54" i="20"/>
  <c r="G54" i="20"/>
  <c r="I54" i="20"/>
  <c r="H54" i="20"/>
  <c r="K54" i="20"/>
  <c r="J54" i="20"/>
  <c r="L54" i="20"/>
  <c r="M54" i="20"/>
  <c r="O54" i="20"/>
  <c r="D53" i="20"/>
  <c r="E53" i="20"/>
  <c r="F53" i="20"/>
  <c r="G53" i="20"/>
  <c r="I53" i="20"/>
  <c r="H53" i="20"/>
  <c r="K53" i="20"/>
  <c r="J53" i="20"/>
  <c r="L53" i="20"/>
  <c r="M53" i="20"/>
  <c r="O53" i="20"/>
  <c r="D52" i="20"/>
  <c r="E52" i="20"/>
  <c r="F52" i="20"/>
  <c r="G52" i="20"/>
  <c r="I52" i="20"/>
  <c r="H52" i="20"/>
  <c r="K52" i="20"/>
  <c r="J52" i="20"/>
  <c r="L52" i="20"/>
  <c r="M52" i="20"/>
  <c r="O52" i="20"/>
  <c r="D51" i="20"/>
  <c r="E51" i="20"/>
  <c r="F51" i="20"/>
  <c r="G51" i="20"/>
  <c r="I51" i="20"/>
  <c r="H51" i="20"/>
  <c r="K51" i="20"/>
  <c r="J51" i="20"/>
  <c r="L51" i="20"/>
  <c r="M51" i="20"/>
  <c r="O51" i="20"/>
  <c r="D50" i="20"/>
  <c r="E50" i="20"/>
  <c r="F50" i="20"/>
  <c r="G50" i="20"/>
  <c r="I50" i="20"/>
  <c r="H50" i="20"/>
  <c r="K50" i="20"/>
  <c r="J50" i="20"/>
  <c r="L50" i="20"/>
  <c r="M50" i="20"/>
  <c r="O50" i="20"/>
  <c r="D49" i="20"/>
  <c r="E49" i="20"/>
  <c r="F49" i="20"/>
  <c r="G49" i="20"/>
  <c r="I49" i="20"/>
  <c r="H49" i="20"/>
  <c r="K49" i="20"/>
  <c r="J49" i="20"/>
  <c r="L49" i="20"/>
  <c r="M49" i="20"/>
  <c r="O49" i="20"/>
  <c r="D48" i="20"/>
  <c r="E48" i="20"/>
  <c r="F48" i="20"/>
  <c r="G48" i="20"/>
  <c r="I48" i="20"/>
  <c r="H48" i="20"/>
  <c r="K48" i="20"/>
  <c r="J48" i="20"/>
  <c r="L48" i="20"/>
  <c r="M48" i="20"/>
  <c r="O48" i="20"/>
  <c r="D47" i="20"/>
  <c r="E47" i="20"/>
  <c r="F47" i="20"/>
  <c r="G47" i="20"/>
  <c r="I47" i="20"/>
  <c r="H47" i="20"/>
  <c r="K47" i="20"/>
  <c r="J47" i="20"/>
  <c r="L47" i="20"/>
  <c r="M47" i="20"/>
  <c r="O47" i="20"/>
  <c r="D46" i="20"/>
  <c r="E46" i="20"/>
  <c r="F46" i="20"/>
  <c r="G46" i="20"/>
  <c r="I46" i="20"/>
  <c r="H46" i="20"/>
  <c r="K46" i="20"/>
  <c r="J46" i="20"/>
  <c r="L46" i="20"/>
  <c r="M46" i="20"/>
  <c r="O46" i="20"/>
  <c r="D45" i="20"/>
  <c r="E45" i="20"/>
  <c r="F45" i="20"/>
  <c r="G45" i="20"/>
  <c r="I45" i="20"/>
  <c r="H45" i="20"/>
  <c r="K45" i="20"/>
  <c r="J45" i="20"/>
  <c r="L45" i="20"/>
  <c r="M45" i="20"/>
  <c r="O45" i="20"/>
  <c r="D44" i="20"/>
  <c r="E44" i="20"/>
  <c r="F44" i="20"/>
  <c r="G44" i="20"/>
  <c r="I44" i="20"/>
  <c r="H44" i="20"/>
  <c r="K44" i="20"/>
  <c r="J44" i="20"/>
  <c r="L44" i="20"/>
  <c r="M44" i="20"/>
  <c r="O44" i="20"/>
  <c r="D43" i="20"/>
  <c r="E43" i="20"/>
  <c r="F43" i="20"/>
  <c r="G43" i="20"/>
  <c r="I43" i="20"/>
  <c r="H43" i="20"/>
  <c r="K43" i="20"/>
  <c r="J43" i="20"/>
  <c r="L43" i="20"/>
  <c r="M43" i="20"/>
  <c r="O43" i="20"/>
  <c r="D42" i="20"/>
  <c r="E42" i="20"/>
  <c r="F42" i="20"/>
  <c r="G42" i="20"/>
  <c r="I42" i="20"/>
  <c r="H42" i="20"/>
  <c r="K42" i="20"/>
  <c r="J42" i="20"/>
  <c r="L42" i="20"/>
  <c r="M42" i="20"/>
  <c r="O42" i="20"/>
  <c r="D41" i="20"/>
  <c r="E41" i="20"/>
  <c r="F41" i="20"/>
  <c r="G41" i="20"/>
  <c r="I41" i="20"/>
  <c r="H41" i="20"/>
  <c r="K41" i="20"/>
  <c r="J41" i="20"/>
  <c r="L41" i="20"/>
  <c r="M41" i="20"/>
  <c r="O41" i="20"/>
  <c r="D40" i="20"/>
  <c r="E40" i="20"/>
  <c r="F40" i="20"/>
  <c r="G40" i="20"/>
  <c r="I40" i="20"/>
  <c r="H40" i="20"/>
  <c r="K40" i="20"/>
  <c r="J40" i="20"/>
  <c r="L40" i="20"/>
  <c r="M40" i="20"/>
  <c r="O40" i="20"/>
  <c r="D39" i="20"/>
  <c r="E39" i="20"/>
  <c r="F39" i="20"/>
  <c r="G39" i="20"/>
  <c r="I39" i="20"/>
  <c r="H39" i="20"/>
  <c r="K39" i="20"/>
  <c r="J39" i="20"/>
  <c r="L39" i="20"/>
  <c r="M39" i="20"/>
  <c r="O39" i="20"/>
  <c r="D38" i="20"/>
  <c r="E38" i="20"/>
  <c r="F38" i="20"/>
  <c r="G38" i="20"/>
  <c r="I38" i="20"/>
  <c r="H38" i="20"/>
  <c r="K38" i="20"/>
  <c r="J38" i="20"/>
  <c r="L38" i="20"/>
  <c r="M38" i="20"/>
  <c r="O38" i="20"/>
  <c r="D37" i="20"/>
  <c r="E37" i="20"/>
  <c r="F37" i="20"/>
  <c r="G37" i="20"/>
  <c r="I37" i="20"/>
  <c r="H37" i="20"/>
  <c r="K37" i="20"/>
  <c r="J37" i="20"/>
  <c r="L37" i="20"/>
  <c r="M37" i="20"/>
  <c r="O37" i="20"/>
  <c r="D36" i="20"/>
  <c r="E36" i="20"/>
  <c r="F36" i="20"/>
  <c r="G36" i="20"/>
  <c r="I36" i="20"/>
  <c r="H36" i="20"/>
  <c r="K36" i="20"/>
  <c r="J36" i="20"/>
  <c r="L36" i="20"/>
  <c r="M36" i="20"/>
  <c r="O36" i="20"/>
  <c r="D35" i="20"/>
  <c r="E35" i="20"/>
  <c r="F35" i="20"/>
  <c r="G35" i="20"/>
  <c r="I35" i="20"/>
  <c r="H35" i="20"/>
  <c r="K35" i="20"/>
  <c r="J35" i="20"/>
  <c r="L35" i="20"/>
  <c r="M35" i="20"/>
  <c r="O35" i="20"/>
  <c r="D34" i="20"/>
  <c r="E34" i="20"/>
  <c r="F34" i="20"/>
  <c r="G34" i="20"/>
  <c r="I34" i="20"/>
  <c r="H34" i="20"/>
  <c r="K34" i="20"/>
  <c r="J34" i="20"/>
  <c r="L34" i="20"/>
  <c r="M34" i="20"/>
  <c r="O34" i="20"/>
  <c r="D33" i="20"/>
  <c r="E33" i="20"/>
  <c r="F33" i="20"/>
  <c r="G33" i="20"/>
  <c r="I33" i="20"/>
  <c r="H33" i="20"/>
  <c r="K33" i="20"/>
  <c r="J33" i="20"/>
  <c r="L33" i="20"/>
  <c r="M33" i="20"/>
  <c r="O33" i="20"/>
  <c r="D32" i="20"/>
  <c r="E32" i="20"/>
  <c r="F32" i="20"/>
  <c r="G32" i="20"/>
  <c r="I32" i="20"/>
  <c r="H32" i="20"/>
  <c r="K32" i="20"/>
  <c r="J32" i="20"/>
  <c r="L32" i="20"/>
  <c r="M32" i="20"/>
  <c r="O32" i="20"/>
  <c r="D31" i="20"/>
  <c r="E31" i="20"/>
  <c r="F31" i="20"/>
  <c r="G31" i="20"/>
  <c r="I31" i="20"/>
  <c r="H31" i="20"/>
  <c r="K31" i="20"/>
  <c r="J31" i="20"/>
  <c r="L31" i="20"/>
  <c r="M31" i="20"/>
  <c r="O31" i="20"/>
  <c r="D30" i="20"/>
  <c r="E30" i="20"/>
  <c r="F30" i="20"/>
  <c r="G30" i="20"/>
  <c r="I30" i="20"/>
  <c r="H30" i="20"/>
  <c r="K30" i="20"/>
  <c r="J30" i="20"/>
  <c r="L30" i="20"/>
  <c r="M30" i="20"/>
  <c r="O30" i="20"/>
  <c r="D29" i="20"/>
  <c r="E29" i="20"/>
  <c r="F29" i="20"/>
  <c r="G29" i="20"/>
  <c r="I29" i="20"/>
  <c r="H29" i="20"/>
  <c r="K29" i="20"/>
  <c r="J29" i="20"/>
  <c r="L29" i="20"/>
  <c r="M29" i="20"/>
  <c r="O29" i="20"/>
  <c r="D28" i="20"/>
  <c r="E28" i="20"/>
  <c r="F28" i="20"/>
  <c r="G28" i="20"/>
  <c r="I28" i="20"/>
  <c r="H28" i="20"/>
  <c r="K28" i="20"/>
  <c r="J28" i="20"/>
  <c r="L28" i="20"/>
  <c r="M28" i="20"/>
  <c r="O28" i="20"/>
  <c r="D27" i="20"/>
  <c r="E27" i="20"/>
  <c r="F27" i="20"/>
  <c r="G27" i="20"/>
  <c r="I27" i="20"/>
  <c r="H27" i="20"/>
  <c r="K27" i="20"/>
  <c r="J27" i="20"/>
  <c r="L27" i="20"/>
  <c r="M27" i="20"/>
  <c r="O27" i="20"/>
  <c r="D26" i="20"/>
  <c r="E26" i="20"/>
  <c r="F26" i="20"/>
  <c r="G26" i="20"/>
  <c r="I26" i="20"/>
  <c r="H26" i="20"/>
  <c r="K26" i="20"/>
  <c r="J26" i="20"/>
  <c r="L26" i="20"/>
  <c r="M26" i="20"/>
  <c r="O26" i="20"/>
  <c r="D25" i="20"/>
  <c r="E25" i="20"/>
  <c r="F25" i="20"/>
  <c r="G25" i="20"/>
  <c r="I25" i="20"/>
  <c r="H25" i="20"/>
  <c r="K25" i="20"/>
  <c r="J25" i="20"/>
  <c r="L25" i="20"/>
  <c r="M25" i="20"/>
  <c r="O25" i="20"/>
  <c r="D24" i="20"/>
  <c r="E24" i="20"/>
  <c r="F24" i="20"/>
  <c r="G24" i="20"/>
  <c r="I24" i="20"/>
  <c r="H24" i="20"/>
  <c r="K24" i="20"/>
  <c r="J24" i="20"/>
  <c r="L24" i="20"/>
  <c r="M24" i="20"/>
  <c r="O24" i="20"/>
  <c r="D23" i="20"/>
  <c r="E23" i="20"/>
  <c r="F23" i="20"/>
  <c r="G23" i="20"/>
  <c r="I23" i="20"/>
  <c r="H23" i="20"/>
  <c r="K23" i="20"/>
  <c r="J23" i="20"/>
  <c r="L23" i="20"/>
  <c r="M23" i="20"/>
  <c r="O23" i="20"/>
  <c r="D22" i="20"/>
  <c r="E22" i="20"/>
  <c r="F22" i="20"/>
  <c r="G22" i="20"/>
  <c r="I22" i="20"/>
  <c r="H22" i="20"/>
  <c r="K22" i="20"/>
  <c r="J22" i="20"/>
  <c r="L22" i="20"/>
  <c r="M22" i="20"/>
  <c r="O22" i="20"/>
  <c r="D21" i="20"/>
  <c r="E21" i="20"/>
  <c r="F21" i="20"/>
  <c r="G21" i="20"/>
  <c r="I21" i="20"/>
  <c r="H21" i="20"/>
  <c r="K21" i="20"/>
  <c r="J21" i="20"/>
  <c r="L21" i="20"/>
  <c r="M21" i="20"/>
  <c r="O21" i="20"/>
  <c r="D20" i="20"/>
  <c r="E20" i="20"/>
  <c r="F20" i="20"/>
  <c r="G20" i="20"/>
  <c r="I20" i="20"/>
  <c r="H20" i="20"/>
  <c r="K20" i="20"/>
  <c r="J20" i="20"/>
  <c r="L20" i="20"/>
  <c r="M20" i="20"/>
  <c r="O20" i="20"/>
  <c r="D19" i="20"/>
  <c r="E19" i="20"/>
  <c r="F19" i="20"/>
  <c r="G19" i="20"/>
  <c r="I19" i="20"/>
  <c r="H19" i="20"/>
  <c r="K19" i="20"/>
  <c r="J19" i="20"/>
  <c r="L19" i="20"/>
  <c r="M19" i="20"/>
  <c r="O19" i="20"/>
  <c r="D18" i="20"/>
  <c r="E18" i="20"/>
  <c r="F18" i="20"/>
  <c r="G18" i="20"/>
  <c r="I18" i="20"/>
  <c r="H18" i="20"/>
  <c r="K18" i="20"/>
  <c r="J18" i="20"/>
  <c r="L18" i="20"/>
  <c r="M18" i="20"/>
  <c r="O18" i="20"/>
  <c r="D17" i="20"/>
  <c r="E17" i="20"/>
  <c r="F17" i="20"/>
  <c r="G17" i="20"/>
  <c r="I17" i="20"/>
  <c r="H17" i="20"/>
  <c r="K17" i="20"/>
  <c r="J17" i="20"/>
  <c r="L17" i="20"/>
  <c r="M17" i="20"/>
  <c r="O17" i="20"/>
  <c r="D16" i="20"/>
  <c r="E16" i="20"/>
  <c r="F16" i="20"/>
  <c r="G16" i="20"/>
  <c r="I16" i="20"/>
  <c r="H16" i="20"/>
  <c r="K16" i="20"/>
  <c r="J16" i="20"/>
  <c r="L16" i="20"/>
  <c r="M16" i="20"/>
  <c r="O16" i="20"/>
  <c r="D15" i="20"/>
  <c r="E15" i="20"/>
  <c r="F15" i="20"/>
  <c r="G15" i="20"/>
  <c r="I15" i="20"/>
  <c r="H15" i="20"/>
  <c r="K15" i="20"/>
  <c r="J15" i="20"/>
  <c r="L15" i="20"/>
  <c r="M15" i="20"/>
  <c r="O15" i="20"/>
  <c r="D14" i="20"/>
  <c r="E14" i="20"/>
  <c r="F14" i="20"/>
  <c r="G14" i="20"/>
  <c r="I14" i="20"/>
  <c r="H14" i="20"/>
  <c r="K14" i="20"/>
  <c r="J14" i="20"/>
  <c r="L14" i="20"/>
  <c r="M14" i="20"/>
  <c r="O14" i="20"/>
  <c r="H13" i="20"/>
  <c r="K13" i="20"/>
  <c r="O13" i="20"/>
  <c r="AA14" i="20"/>
  <c r="AA13" i="20"/>
  <c r="N122" i="20"/>
  <c r="N121" i="20"/>
  <c r="N120" i="20"/>
  <c r="N119" i="20"/>
  <c r="N118" i="20"/>
  <c r="N117" i="20"/>
  <c r="N116" i="20"/>
  <c r="N115" i="20"/>
  <c r="N114" i="20"/>
  <c r="N113" i="20"/>
  <c r="N112" i="20"/>
  <c r="N111" i="20"/>
  <c r="N110" i="20"/>
  <c r="N109" i="20"/>
  <c r="N108" i="20"/>
  <c r="N107" i="20"/>
  <c r="N106" i="20"/>
  <c r="N105" i="20"/>
  <c r="N104" i="20"/>
  <c r="N103" i="20"/>
  <c r="N102" i="20"/>
  <c r="N101" i="20"/>
  <c r="N100" i="20"/>
  <c r="N99" i="20"/>
  <c r="N98" i="20"/>
  <c r="N97" i="20"/>
  <c r="N96" i="20"/>
  <c r="N95" i="20"/>
  <c r="N94" i="20"/>
  <c r="N93" i="20"/>
  <c r="N92" i="20"/>
  <c r="N91" i="20"/>
  <c r="N90" i="20"/>
  <c r="N89" i="20"/>
  <c r="N88" i="20"/>
  <c r="N87" i="20"/>
  <c r="N86" i="20"/>
  <c r="N85" i="20"/>
  <c r="N84" i="20"/>
  <c r="N83" i="20"/>
  <c r="N82" i="20"/>
  <c r="N81" i="20"/>
  <c r="N80" i="20"/>
  <c r="N79" i="20"/>
  <c r="N78" i="20"/>
  <c r="N77" i="20"/>
  <c r="N76" i="20"/>
  <c r="N75" i="20"/>
  <c r="N74" i="20"/>
  <c r="N73" i="20"/>
  <c r="N72" i="20"/>
  <c r="N71" i="20"/>
  <c r="N70" i="20"/>
  <c r="N69" i="20"/>
  <c r="N68" i="20"/>
  <c r="N67" i="20"/>
  <c r="N66" i="20"/>
  <c r="N65" i="20"/>
  <c r="N64" i="20"/>
  <c r="N63" i="20"/>
  <c r="N62" i="20"/>
  <c r="N61" i="20"/>
  <c r="N60" i="20"/>
  <c r="N59" i="20"/>
  <c r="N58" i="20"/>
  <c r="N57" i="20"/>
  <c r="N56" i="20"/>
  <c r="N55" i="20"/>
  <c r="N54" i="20"/>
  <c r="N53" i="20"/>
  <c r="N52" i="20"/>
  <c r="N51" i="20"/>
  <c r="N50" i="20"/>
  <c r="N49" i="20"/>
  <c r="N48" i="20"/>
  <c r="N47" i="20"/>
  <c r="N46" i="20"/>
  <c r="N45" i="20"/>
  <c r="N44" i="20"/>
  <c r="N43" i="20"/>
  <c r="N42" i="20"/>
  <c r="N41" i="20"/>
  <c r="N40" i="20"/>
  <c r="N39" i="20"/>
  <c r="N38" i="20"/>
  <c r="N37" i="20"/>
  <c r="N36" i="20"/>
  <c r="N35" i="20"/>
  <c r="N34" i="20"/>
  <c r="N33" i="20"/>
  <c r="N32" i="20"/>
  <c r="N31" i="20"/>
  <c r="N30" i="20"/>
  <c r="N29" i="20"/>
  <c r="N28" i="20"/>
  <c r="N27" i="20"/>
  <c r="N26" i="20"/>
  <c r="N25" i="20"/>
  <c r="N24" i="20"/>
  <c r="N23" i="20"/>
  <c r="N22" i="20"/>
  <c r="N21" i="20"/>
  <c r="N20" i="20"/>
  <c r="N19" i="20"/>
  <c r="N18" i="20"/>
  <c r="N17" i="20"/>
  <c r="N16" i="20"/>
  <c r="N15" i="20"/>
  <c r="N14" i="20"/>
  <c r="N13" i="20"/>
  <c r="W13" i="20"/>
  <c r="J13" i="20"/>
  <c r="Z13" i="20"/>
  <c r="Y13" i="20"/>
  <c r="X11" i="20"/>
  <c r="D10" i="20"/>
  <c r="Q10" i="20"/>
  <c r="M13" i="20"/>
  <c r="L13" i="20"/>
  <c r="K11" i="20"/>
  <c r="F13" i="20"/>
  <c r="G13" i="20"/>
  <c r="B6" i="19"/>
  <c r="B13" i="12"/>
  <c r="B60" i="12"/>
  <c r="B19" i="12"/>
  <c r="B20" i="12"/>
  <c r="B21" i="12"/>
  <c r="B22" i="12"/>
  <c r="B23" i="12"/>
  <c r="B24" i="12"/>
  <c r="B25" i="12"/>
  <c r="B26" i="12"/>
  <c r="B27" i="12"/>
  <c r="B28" i="12"/>
  <c r="B29" i="12"/>
  <c r="B30" i="12"/>
  <c r="B31" i="12"/>
  <c r="B32" i="12"/>
  <c r="B33" i="12"/>
  <c r="B34" i="12"/>
  <c r="B35" i="12"/>
  <c r="B36" i="12"/>
  <c r="B37" i="12"/>
  <c r="B38" i="12"/>
  <c r="B39" i="12"/>
  <c r="B40" i="12"/>
  <c r="B41" i="12"/>
  <c r="B42" i="12"/>
  <c r="B43" i="12"/>
  <c r="B44" i="12"/>
  <c r="B45" i="12"/>
  <c r="B46" i="12"/>
  <c r="B47" i="12"/>
  <c r="B48" i="12"/>
  <c r="B49" i="12"/>
  <c r="B50" i="12"/>
  <c r="B51" i="12"/>
  <c r="B52" i="12"/>
  <c r="B53" i="12"/>
  <c r="B54" i="12"/>
  <c r="B55" i="12"/>
  <c r="B56" i="12"/>
  <c r="B57" i="12"/>
  <c r="B58" i="12"/>
  <c r="B59" i="12"/>
  <c r="B61" i="12"/>
  <c r="B62" i="12"/>
  <c r="B63" i="12"/>
  <c r="B64" i="12"/>
  <c r="B65" i="12"/>
  <c r="B66" i="12"/>
  <c r="B67" i="12"/>
  <c r="B68" i="12"/>
  <c r="B69" i="12"/>
  <c r="B70" i="12"/>
  <c r="B71" i="12"/>
  <c r="B72" i="12"/>
  <c r="B73" i="12"/>
  <c r="B74" i="12"/>
  <c r="B75" i="12"/>
  <c r="B76" i="12"/>
  <c r="B77" i="12"/>
  <c r="B78" i="12"/>
  <c r="B79" i="12"/>
  <c r="B80" i="12"/>
  <c r="B81" i="12"/>
  <c r="B82" i="12"/>
  <c r="B83" i="12"/>
  <c r="B84" i="12"/>
  <c r="B85" i="12"/>
  <c r="B86" i="12"/>
  <c r="B87" i="12"/>
  <c r="B88" i="12"/>
  <c r="B89" i="12"/>
  <c r="B90" i="12"/>
  <c r="B91" i="12"/>
  <c r="B92" i="12"/>
  <c r="B93" i="12"/>
  <c r="B94" i="12"/>
  <c r="B95" i="12"/>
  <c r="B96" i="12"/>
  <c r="B97" i="12"/>
  <c r="B98" i="12"/>
  <c r="B99" i="12"/>
  <c r="B100" i="12"/>
  <c r="B101" i="12"/>
  <c r="B102" i="12"/>
  <c r="B103" i="12"/>
  <c r="A105" i="12"/>
  <c r="D20" i="12"/>
  <c r="D21" i="12"/>
  <c r="D22" i="12"/>
  <c r="D23" i="12"/>
  <c r="D24" i="12"/>
  <c r="D25" i="12"/>
  <c r="D26" i="12"/>
  <c r="D27" i="12"/>
  <c r="D28" i="12"/>
  <c r="D29" i="12"/>
  <c r="D30" i="12"/>
  <c r="D31" i="12"/>
  <c r="D32" i="12"/>
  <c r="D33" i="12"/>
  <c r="D34" i="12"/>
  <c r="D35" i="12"/>
  <c r="D36" i="12"/>
  <c r="D37" i="12"/>
  <c r="D38" i="12"/>
  <c r="D39" i="12"/>
  <c r="D40" i="12"/>
  <c r="D41" i="12"/>
  <c r="D42" i="12"/>
  <c r="D43" i="12"/>
  <c r="D44" i="12"/>
  <c r="D45" i="12"/>
  <c r="D46" i="12"/>
  <c r="D47" i="12"/>
  <c r="D48" i="12"/>
  <c r="D49" i="12"/>
  <c r="D50" i="12"/>
  <c r="D51" i="12"/>
  <c r="D52" i="12"/>
  <c r="D53" i="12"/>
  <c r="D54" i="12"/>
  <c r="D55" i="12"/>
  <c r="D56" i="12"/>
  <c r="D57" i="12"/>
  <c r="D58" i="12"/>
  <c r="D59" i="12"/>
  <c r="D60" i="12"/>
  <c r="D61" i="12"/>
  <c r="D62" i="12"/>
  <c r="D63" i="12"/>
  <c r="D64" i="12"/>
  <c r="D65" i="12"/>
  <c r="D66" i="12"/>
  <c r="D67" i="12"/>
  <c r="D68" i="12"/>
  <c r="D69" i="12"/>
  <c r="D70" i="12"/>
  <c r="D71" i="12"/>
  <c r="D72" i="12"/>
  <c r="D73" i="12"/>
  <c r="D74" i="12"/>
  <c r="D75" i="12"/>
  <c r="D76" i="12"/>
  <c r="D77" i="12"/>
  <c r="D78" i="12"/>
  <c r="D79" i="12"/>
  <c r="D80" i="12"/>
  <c r="D81" i="12"/>
  <c r="D82" i="12"/>
  <c r="D83" i="12"/>
  <c r="D84" i="12"/>
  <c r="D85" i="12"/>
  <c r="D86" i="12"/>
  <c r="D87" i="12"/>
  <c r="D88" i="12"/>
  <c r="D89" i="12"/>
  <c r="D90" i="12"/>
  <c r="D91" i="12"/>
  <c r="D92" i="12"/>
  <c r="D93" i="12"/>
  <c r="D94" i="12"/>
  <c r="D95" i="12"/>
  <c r="D96" i="12"/>
  <c r="D97" i="12"/>
  <c r="D98" i="12"/>
  <c r="D99" i="12"/>
  <c r="D100" i="12"/>
  <c r="D101" i="12"/>
  <c r="D102" i="12"/>
  <c r="D103" i="12"/>
  <c r="B13" i="10"/>
  <c r="B60"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A105"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B13" i="8"/>
  <c r="B60"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1" i="8"/>
  <c r="B62" i="8"/>
  <c r="B63" i="8"/>
  <c r="B64" i="8"/>
  <c r="B65" i="8"/>
  <c r="B66" i="8"/>
  <c r="B67" i="8"/>
  <c r="B68" i="8"/>
  <c r="B69" i="8"/>
  <c r="B70" i="8"/>
  <c r="B71" i="8"/>
  <c r="B72" i="8"/>
  <c r="B73" i="8"/>
  <c r="B74" i="8"/>
  <c r="B75" i="8"/>
  <c r="B76" i="8"/>
  <c r="B77" i="8"/>
  <c r="B78" i="8"/>
  <c r="B79" i="8"/>
  <c r="B80" i="8"/>
  <c r="B81" i="8"/>
  <c r="B82" i="8"/>
  <c r="B83" i="8"/>
  <c r="B84" i="8"/>
  <c r="B85" i="8"/>
  <c r="B86" i="8"/>
  <c r="B87" i="8"/>
  <c r="B88" i="8"/>
  <c r="B89" i="8"/>
  <c r="B90" i="8"/>
  <c r="B91" i="8"/>
  <c r="B92" i="8"/>
  <c r="B93" i="8"/>
  <c r="B94" i="8"/>
  <c r="B95" i="8"/>
  <c r="B96" i="8"/>
  <c r="B97" i="8"/>
  <c r="B98" i="8"/>
  <c r="B99" i="8"/>
  <c r="B100" i="8"/>
  <c r="B101" i="8"/>
  <c r="B102" i="8"/>
  <c r="B103" i="8"/>
  <c r="A105"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D76" i="8"/>
  <c r="D77" i="8"/>
  <c r="D78" i="8"/>
  <c r="D79" i="8"/>
  <c r="D80" i="8"/>
  <c r="D81" i="8"/>
  <c r="D82" i="8"/>
  <c r="D83" i="8"/>
  <c r="D84" i="8"/>
  <c r="D85" i="8"/>
  <c r="D86" i="8"/>
  <c r="D87" i="8"/>
  <c r="D88" i="8"/>
  <c r="D89" i="8"/>
  <c r="D90" i="8"/>
  <c r="D91" i="8"/>
  <c r="D92" i="8"/>
  <c r="D93" i="8"/>
  <c r="D94" i="8"/>
  <c r="D95" i="8"/>
  <c r="D96" i="8"/>
  <c r="D97" i="8"/>
  <c r="D98" i="8"/>
  <c r="D99" i="8"/>
  <c r="D100" i="8"/>
  <c r="D101" i="8"/>
  <c r="D102" i="8"/>
  <c r="D103" i="8"/>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G19" i="1"/>
  <c r="H19" i="1"/>
  <c r="I19" i="1"/>
  <c r="G20" i="1"/>
  <c r="H20" i="1"/>
  <c r="I20" i="1"/>
  <c r="G21" i="1"/>
  <c r="H21" i="1"/>
  <c r="I21" i="1"/>
  <c r="G22" i="1"/>
  <c r="H22" i="1"/>
  <c r="I22" i="1"/>
  <c r="G23" i="1"/>
  <c r="H23" i="1"/>
  <c r="I23" i="1"/>
  <c r="G24" i="1"/>
  <c r="H24" i="1"/>
  <c r="I24" i="1"/>
  <c r="G25" i="1"/>
  <c r="H25" i="1"/>
  <c r="I25" i="1"/>
  <c r="G26" i="1"/>
  <c r="H26" i="1"/>
  <c r="I26" i="1"/>
  <c r="G27" i="1"/>
  <c r="H27" i="1"/>
  <c r="I27" i="1"/>
  <c r="G28" i="1"/>
  <c r="H28" i="1"/>
  <c r="I28" i="1"/>
  <c r="G29" i="1"/>
  <c r="H29" i="1"/>
  <c r="I29" i="1"/>
  <c r="G30" i="1"/>
  <c r="H30" i="1"/>
  <c r="I30" i="1"/>
  <c r="G31" i="1"/>
  <c r="H31" i="1"/>
  <c r="I31" i="1"/>
  <c r="G32" i="1"/>
  <c r="H32" i="1"/>
  <c r="I32" i="1"/>
  <c r="G33" i="1"/>
  <c r="H33" i="1"/>
  <c r="I33" i="1"/>
  <c r="G34" i="1"/>
  <c r="H34" i="1"/>
  <c r="I34" i="1"/>
  <c r="G35" i="1"/>
  <c r="H35" i="1"/>
  <c r="I35" i="1"/>
  <c r="G36" i="1"/>
  <c r="H36" i="1"/>
  <c r="I36" i="1"/>
  <c r="G37" i="1"/>
  <c r="H37" i="1"/>
  <c r="I37" i="1"/>
  <c r="G38" i="1"/>
  <c r="H38" i="1"/>
  <c r="I38" i="1"/>
  <c r="G39" i="1"/>
  <c r="H39" i="1"/>
  <c r="I39" i="1"/>
  <c r="G40" i="1"/>
  <c r="H40" i="1"/>
  <c r="I40" i="1"/>
  <c r="D99" i="1"/>
  <c r="D100" i="1"/>
  <c r="D101" i="1"/>
  <c r="D102" i="1"/>
  <c r="D103" i="1"/>
  <c r="B14" i="2"/>
  <c r="I103" i="2"/>
  <c r="J103" i="2"/>
  <c r="K103"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D103" i="2"/>
  <c r="I102" i="2"/>
  <c r="J102" i="2"/>
  <c r="K102" i="2"/>
  <c r="D102" i="2"/>
  <c r="I101" i="2"/>
  <c r="J101" i="2"/>
  <c r="K101" i="2"/>
  <c r="D101" i="2"/>
  <c r="I100" i="2"/>
  <c r="J100" i="2"/>
  <c r="K100" i="2"/>
  <c r="D100" i="2"/>
  <c r="I99" i="2"/>
  <c r="J99" i="2"/>
  <c r="K99" i="2"/>
  <c r="D99" i="2"/>
  <c r="I98" i="2"/>
  <c r="J98" i="2"/>
  <c r="K98" i="2"/>
  <c r="D98" i="2"/>
  <c r="I97" i="2"/>
  <c r="J97" i="2"/>
  <c r="K97" i="2"/>
  <c r="D97" i="2"/>
  <c r="I96" i="2"/>
  <c r="J96" i="2"/>
  <c r="K96" i="2"/>
  <c r="D96" i="2"/>
  <c r="I95" i="2"/>
  <c r="J95" i="2"/>
  <c r="K95" i="2"/>
  <c r="D95" i="2"/>
  <c r="I94" i="2"/>
  <c r="J94" i="2"/>
  <c r="K94" i="2"/>
  <c r="D94" i="2"/>
  <c r="I93" i="2"/>
  <c r="J93" i="2"/>
  <c r="K93" i="2"/>
  <c r="D93" i="2"/>
  <c r="I92" i="2"/>
  <c r="J92" i="2"/>
  <c r="K92" i="2"/>
  <c r="D92" i="2"/>
  <c r="I91" i="2"/>
  <c r="J91" i="2"/>
  <c r="K91" i="2"/>
  <c r="D91" i="2"/>
  <c r="I90" i="2"/>
  <c r="J90" i="2"/>
  <c r="K90" i="2"/>
  <c r="D90" i="2"/>
  <c r="I89" i="2"/>
  <c r="J89" i="2"/>
  <c r="K89" i="2"/>
  <c r="D89" i="2"/>
  <c r="I88" i="2"/>
  <c r="J88" i="2"/>
  <c r="K88" i="2"/>
  <c r="D88" i="2"/>
  <c r="I87" i="2"/>
  <c r="J87" i="2"/>
  <c r="K87" i="2"/>
  <c r="D87" i="2"/>
  <c r="I86" i="2"/>
  <c r="J86" i="2"/>
  <c r="K86" i="2"/>
  <c r="D86" i="2"/>
  <c r="I85" i="2"/>
  <c r="J85" i="2"/>
  <c r="K85" i="2"/>
  <c r="D85" i="2"/>
  <c r="I84" i="2"/>
  <c r="J84" i="2"/>
  <c r="K84" i="2"/>
  <c r="D84" i="2"/>
  <c r="I83" i="2"/>
  <c r="J83" i="2"/>
  <c r="K83" i="2"/>
  <c r="D83" i="2"/>
  <c r="I82" i="2"/>
  <c r="J82" i="2"/>
  <c r="K82" i="2"/>
  <c r="D82" i="2"/>
  <c r="I81" i="2"/>
  <c r="J81" i="2"/>
  <c r="K81" i="2"/>
  <c r="D81" i="2"/>
  <c r="I80" i="2"/>
  <c r="J80" i="2"/>
  <c r="K80" i="2"/>
  <c r="D80" i="2"/>
  <c r="I79" i="2"/>
  <c r="J79" i="2"/>
  <c r="K79" i="2"/>
  <c r="D79" i="2"/>
  <c r="I78" i="2"/>
  <c r="J78" i="2"/>
  <c r="K78" i="2"/>
  <c r="D78" i="2"/>
  <c r="I77" i="2"/>
  <c r="J77" i="2"/>
  <c r="K77" i="2"/>
  <c r="D77" i="2"/>
  <c r="I76" i="2"/>
  <c r="J76" i="2"/>
  <c r="K76" i="2"/>
  <c r="D76" i="2"/>
  <c r="I75" i="2"/>
  <c r="J75" i="2"/>
  <c r="K75" i="2"/>
  <c r="D75" i="2"/>
  <c r="I74" i="2"/>
  <c r="J74" i="2"/>
  <c r="K74" i="2"/>
  <c r="D74" i="2"/>
  <c r="I73" i="2"/>
  <c r="J73" i="2"/>
  <c r="K73" i="2"/>
  <c r="D73" i="2"/>
  <c r="I72" i="2"/>
  <c r="J72" i="2"/>
  <c r="K72" i="2"/>
  <c r="D72" i="2"/>
  <c r="I71" i="2"/>
  <c r="J71" i="2"/>
  <c r="K71" i="2"/>
  <c r="D71" i="2"/>
  <c r="I70" i="2"/>
  <c r="J70" i="2"/>
  <c r="K70" i="2"/>
  <c r="D70" i="2"/>
  <c r="I69" i="2"/>
  <c r="J69" i="2"/>
  <c r="K69" i="2"/>
  <c r="D69" i="2"/>
  <c r="I68" i="2"/>
  <c r="J68" i="2"/>
  <c r="K68" i="2"/>
  <c r="D68" i="2"/>
  <c r="I67" i="2"/>
  <c r="J67" i="2"/>
  <c r="K67" i="2"/>
  <c r="D67" i="2"/>
  <c r="I66" i="2"/>
  <c r="J66" i="2"/>
  <c r="K66" i="2"/>
  <c r="D66" i="2"/>
  <c r="I65" i="2"/>
  <c r="J65" i="2"/>
  <c r="K65" i="2"/>
  <c r="D65" i="2"/>
  <c r="I64" i="2"/>
  <c r="J64" i="2"/>
  <c r="K64" i="2"/>
  <c r="D64" i="2"/>
  <c r="I63" i="2"/>
  <c r="J63" i="2"/>
  <c r="K63" i="2"/>
  <c r="D63" i="2"/>
  <c r="I62" i="2"/>
  <c r="J62" i="2"/>
  <c r="K62" i="2"/>
  <c r="D62" i="2"/>
  <c r="I61" i="2"/>
  <c r="J61" i="2"/>
  <c r="K61" i="2"/>
  <c r="D61" i="2"/>
  <c r="I60" i="2"/>
  <c r="J60" i="2"/>
  <c r="K60" i="2"/>
  <c r="D60" i="2"/>
  <c r="I59" i="2"/>
  <c r="J59" i="2"/>
  <c r="K59" i="2"/>
  <c r="D59" i="2"/>
  <c r="I58" i="2"/>
  <c r="J58" i="2"/>
  <c r="K58" i="2"/>
  <c r="D58" i="2"/>
  <c r="I57" i="2"/>
  <c r="J57" i="2"/>
  <c r="K57" i="2"/>
  <c r="D57" i="2"/>
  <c r="I56" i="2"/>
  <c r="J56" i="2"/>
  <c r="K56" i="2"/>
  <c r="D56" i="2"/>
  <c r="I55" i="2"/>
  <c r="J55" i="2"/>
  <c r="K55" i="2"/>
  <c r="D55" i="2"/>
  <c r="I54" i="2"/>
  <c r="J54" i="2"/>
  <c r="K54" i="2"/>
  <c r="D54" i="2"/>
  <c r="I53" i="2"/>
  <c r="J53" i="2"/>
  <c r="K53" i="2"/>
  <c r="D53" i="2"/>
  <c r="I52" i="2"/>
  <c r="J52" i="2"/>
  <c r="K52" i="2"/>
  <c r="D52" i="2"/>
  <c r="I51" i="2"/>
  <c r="J51" i="2"/>
  <c r="K51" i="2"/>
  <c r="D51" i="2"/>
  <c r="I50" i="2"/>
  <c r="J50" i="2"/>
  <c r="K50" i="2"/>
  <c r="D50" i="2"/>
  <c r="I49" i="2"/>
  <c r="J49" i="2"/>
  <c r="K49" i="2"/>
  <c r="D49" i="2"/>
  <c r="I48" i="2"/>
  <c r="J48" i="2"/>
  <c r="K48" i="2"/>
  <c r="D48" i="2"/>
  <c r="I47" i="2"/>
  <c r="J47" i="2"/>
  <c r="K47" i="2"/>
  <c r="D47" i="2"/>
  <c r="I46" i="2"/>
  <c r="J46" i="2"/>
  <c r="K46" i="2"/>
  <c r="D46" i="2"/>
  <c r="I45" i="2"/>
  <c r="J45" i="2"/>
  <c r="K45" i="2"/>
  <c r="D45" i="2"/>
  <c r="I44" i="2"/>
  <c r="J44" i="2"/>
  <c r="K44" i="2"/>
  <c r="D44" i="2"/>
  <c r="I43" i="2"/>
  <c r="J43" i="2"/>
  <c r="K43" i="2"/>
  <c r="D43" i="2"/>
  <c r="I42" i="2"/>
  <c r="J42" i="2"/>
  <c r="K42" i="2"/>
  <c r="D42" i="2"/>
  <c r="I41" i="2"/>
  <c r="J41" i="2"/>
  <c r="K41" i="2"/>
  <c r="D41" i="2"/>
  <c r="I40" i="2"/>
  <c r="J40" i="2"/>
  <c r="K40" i="2"/>
  <c r="D40" i="2"/>
  <c r="I39" i="2"/>
  <c r="J39" i="2"/>
  <c r="K39" i="2"/>
  <c r="D39" i="2"/>
  <c r="I38" i="2"/>
  <c r="J38" i="2"/>
  <c r="K38" i="2"/>
  <c r="D38" i="2"/>
  <c r="I37" i="2"/>
  <c r="J37" i="2"/>
  <c r="K37" i="2"/>
  <c r="D37" i="2"/>
  <c r="I36" i="2"/>
  <c r="J36" i="2"/>
  <c r="K36" i="2"/>
  <c r="D36" i="2"/>
  <c r="I35" i="2"/>
  <c r="J35" i="2"/>
  <c r="K35" i="2"/>
  <c r="D35" i="2"/>
  <c r="I34" i="2"/>
  <c r="J34" i="2"/>
  <c r="K34" i="2"/>
  <c r="D34" i="2"/>
  <c r="I33" i="2"/>
  <c r="J33" i="2"/>
  <c r="K33" i="2"/>
  <c r="D33" i="2"/>
  <c r="I32" i="2"/>
  <c r="J32" i="2"/>
  <c r="K32" i="2"/>
  <c r="D32" i="2"/>
  <c r="I31" i="2"/>
  <c r="J31" i="2"/>
  <c r="K31" i="2"/>
  <c r="D31" i="2"/>
  <c r="I30" i="2"/>
  <c r="J30" i="2"/>
  <c r="K30" i="2"/>
  <c r="D30" i="2"/>
  <c r="I29" i="2"/>
  <c r="J29" i="2"/>
  <c r="K29" i="2"/>
  <c r="D29" i="2"/>
  <c r="I28" i="2"/>
  <c r="J28" i="2"/>
  <c r="K28" i="2"/>
  <c r="D28" i="2"/>
  <c r="I27" i="2"/>
  <c r="J27" i="2"/>
  <c r="K27" i="2"/>
  <c r="D27" i="2"/>
  <c r="I26" i="2"/>
  <c r="J26" i="2"/>
  <c r="K26" i="2"/>
  <c r="D26" i="2"/>
  <c r="I24" i="2"/>
  <c r="J24" i="2"/>
  <c r="K24" i="2"/>
  <c r="D24" i="2"/>
  <c r="I25" i="2"/>
  <c r="J25" i="2"/>
  <c r="K25" i="2"/>
  <c r="D25" i="2"/>
  <c r="I23" i="2"/>
  <c r="J23" i="2"/>
  <c r="K23" i="2"/>
  <c r="D23" i="2"/>
  <c r="I22" i="2"/>
  <c r="J22" i="2"/>
  <c r="K22" i="2"/>
  <c r="D22" i="2"/>
  <c r="I21" i="2"/>
  <c r="J21" i="2"/>
  <c r="K21" i="2"/>
  <c r="D21" i="2"/>
  <c r="I19" i="2"/>
  <c r="J19" i="2"/>
  <c r="K19" i="2"/>
  <c r="D19" i="2"/>
  <c r="I20" i="2"/>
  <c r="J20" i="2"/>
  <c r="K20" i="2"/>
  <c r="D20" i="2"/>
  <c r="F4" i="13"/>
  <c r="F4" i="11"/>
  <c r="F4" i="9"/>
  <c r="AA80" i="2"/>
  <c r="AA19"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C68" i="2"/>
  <c r="AC69" i="2"/>
  <c r="AC70" i="2"/>
  <c r="AC71" i="2"/>
  <c r="AC72" i="2"/>
  <c r="AC73" i="2"/>
  <c r="AC74" i="2"/>
  <c r="AC75" i="2"/>
  <c r="AC76" i="2"/>
  <c r="AC77" i="2"/>
  <c r="AC78" i="2"/>
  <c r="AC79" i="2"/>
  <c r="AC80" i="2"/>
  <c r="AC81" i="2"/>
  <c r="AC82" i="2"/>
  <c r="AC83" i="2"/>
  <c r="AC84" i="2"/>
  <c r="AC85" i="2"/>
  <c r="AC86" i="2"/>
  <c r="AC87" i="2"/>
  <c r="AC88" i="2"/>
  <c r="AC89" i="2"/>
  <c r="AC90" i="2"/>
  <c r="AC91" i="2"/>
  <c r="AC92" i="2"/>
  <c r="AC93" i="2"/>
  <c r="AC94" i="2"/>
  <c r="AC95" i="2"/>
  <c r="AC96" i="2"/>
  <c r="AC97" i="2"/>
  <c r="AC98" i="2"/>
  <c r="AC99" i="2"/>
  <c r="AC100" i="2"/>
  <c r="AC101" i="2"/>
  <c r="AC102" i="2"/>
  <c r="AC103"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AA51" i="2"/>
  <c r="AA52" i="2"/>
  <c r="AA53" i="2"/>
  <c r="AA54" i="2"/>
  <c r="AA55" i="2"/>
  <c r="AA56" i="2"/>
  <c r="AA57" i="2"/>
  <c r="AA58" i="2"/>
  <c r="AA59" i="2"/>
  <c r="AA60" i="2"/>
  <c r="AA61" i="2"/>
  <c r="AA62" i="2"/>
  <c r="AA63" i="2"/>
  <c r="AA64" i="2"/>
  <c r="AA65" i="2"/>
  <c r="AA66" i="2"/>
  <c r="AA67" i="2"/>
  <c r="AA68" i="2"/>
  <c r="AA69" i="2"/>
  <c r="AA70" i="2"/>
  <c r="AA71" i="2"/>
  <c r="AA72" i="2"/>
  <c r="AA73" i="2"/>
  <c r="AA74" i="2"/>
  <c r="AA75" i="2"/>
  <c r="AA76" i="2"/>
  <c r="AA77" i="2"/>
  <c r="AA78" i="2"/>
  <c r="AA79" i="2"/>
  <c r="AA81" i="2"/>
  <c r="AA82" i="2"/>
  <c r="AA83" i="2"/>
  <c r="AA84" i="2"/>
  <c r="AA85" i="2"/>
  <c r="AA86" i="2"/>
  <c r="AA87" i="2"/>
  <c r="AA88" i="2"/>
  <c r="AA89" i="2"/>
  <c r="AA90" i="2"/>
  <c r="AA91" i="2"/>
  <c r="AA92" i="2"/>
  <c r="AA93" i="2"/>
  <c r="AA94" i="2"/>
  <c r="AA95" i="2"/>
  <c r="AA96" i="2"/>
  <c r="AA97" i="2"/>
  <c r="AA98" i="2"/>
  <c r="AA99" i="2"/>
  <c r="AA100" i="2"/>
  <c r="AA101" i="2"/>
  <c r="AA102" i="2"/>
  <c r="AA103" i="2"/>
  <c r="P105" i="1"/>
  <c r="B22" i="3"/>
  <c r="B10" i="17"/>
  <c r="P106" i="1"/>
  <c r="B23" i="3"/>
  <c r="B9" i="17"/>
  <c r="C10" i="17"/>
  <c r="D10" i="17"/>
  <c r="E10" i="17"/>
  <c r="F10" i="17"/>
  <c r="B16" i="17"/>
  <c r="B24" i="17"/>
  <c r="G10" i="17"/>
  <c r="G20" i="7"/>
  <c r="F5" i="17"/>
  <c r="G19" i="7"/>
  <c r="E5" i="17"/>
  <c r="G18" i="7"/>
  <c r="D5" i="17"/>
  <c r="G17" i="7"/>
  <c r="C5" i="17"/>
  <c r="G16" i="7"/>
  <c r="B5" i="17"/>
  <c r="B3" i="17"/>
  <c r="C3" i="17"/>
  <c r="D3" i="17"/>
  <c r="E3" i="17"/>
  <c r="F3" i="17"/>
  <c r="G3" i="17"/>
  <c r="B8" i="16"/>
  <c r="C8" i="16"/>
  <c r="B14" i="16"/>
  <c r="B20" i="16"/>
  <c r="B25" i="16"/>
  <c r="B11" i="12"/>
  <c r="B11" i="10"/>
  <c r="B11" i="8"/>
  <c r="B14" i="8"/>
  <c r="B14" i="9"/>
  <c r="B14" i="10"/>
  <c r="B14" i="11"/>
  <c r="B14" i="12"/>
  <c r="B14" i="13"/>
  <c r="B10" i="16"/>
  <c r="C10" i="16"/>
  <c r="D10" i="16"/>
  <c r="E10" i="16"/>
  <c r="F10" i="16"/>
  <c r="B16" i="16"/>
  <c r="B24" i="16"/>
  <c r="G10" i="16"/>
  <c r="D8" i="16"/>
  <c r="E8" i="16"/>
  <c r="F8" i="16"/>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B101" i="14"/>
  <c r="J101" i="14"/>
  <c r="B100" i="14"/>
  <c r="J100" i="14"/>
  <c r="B99" i="14"/>
  <c r="J99" i="14"/>
  <c r="B98" i="14"/>
  <c r="J98" i="14"/>
  <c r="B97" i="14"/>
  <c r="J97" i="14"/>
  <c r="B96" i="14"/>
  <c r="J96" i="14"/>
  <c r="B95" i="14"/>
  <c r="J95" i="14"/>
  <c r="B94" i="14"/>
  <c r="J94" i="14"/>
  <c r="B93" i="14"/>
  <c r="J93" i="14"/>
  <c r="B92" i="14"/>
  <c r="J92" i="14"/>
  <c r="B91" i="14"/>
  <c r="J91" i="14"/>
  <c r="B90" i="14"/>
  <c r="J90" i="14"/>
  <c r="B89" i="14"/>
  <c r="J89" i="14"/>
  <c r="B88" i="14"/>
  <c r="J88" i="14"/>
  <c r="B87" i="14"/>
  <c r="J87" i="14"/>
  <c r="B86" i="14"/>
  <c r="J86" i="14"/>
  <c r="B85" i="14"/>
  <c r="J85" i="14"/>
  <c r="B84" i="14"/>
  <c r="J84" i="14"/>
  <c r="B83" i="14"/>
  <c r="J83" i="14"/>
  <c r="B82" i="14"/>
  <c r="J82" i="14"/>
  <c r="B81" i="14"/>
  <c r="J81" i="14"/>
  <c r="B80" i="14"/>
  <c r="J80" i="14"/>
  <c r="B79" i="14"/>
  <c r="J79" i="14"/>
  <c r="B78" i="14"/>
  <c r="J78" i="14"/>
  <c r="B77" i="14"/>
  <c r="J77" i="14"/>
  <c r="B76" i="14"/>
  <c r="J76" i="14"/>
  <c r="B75" i="14"/>
  <c r="J75" i="14"/>
  <c r="B74" i="14"/>
  <c r="J74" i="14"/>
  <c r="B73" i="14"/>
  <c r="J73" i="14"/>
  <c r="B72" i="14"/>
  <c r="J72" i="14"/>
  <c r="B71" i="14"/>
  <c r="J71" i="14"/>
  <c r="B70" i="14"/>
  <c r="J70" i="14"/>
  <c r="B69" i="14"/>
  <c r="J69" i="14"/>
  <c r="B68" i="14"/>
  <c r="J68" i="14"/>
  <c r="B67" i="14"/>
  <c r="J67" i="14"/>
  <c r="B66" i="14"/>
  <c r="J66" i="14"/>
  <c r="B65" i="14"/>
  <c r="J65" i="14"/>
  <c r="B64" i="14"/>
  <c r="J64" i="14"/>
  <c r="B63" i="14"/>
  <c r="J63" i="14"/>
  <c r="B62" i="14"/>
  <c r="J62" i="14"/>
  <c r="B61" i="14"/>
  <c r="J61" i="14"/>
  <c r="B60" i="14"/>
  <c r="J60" i="14"/>
  <c r="B59" i="14"/>
  <c r="J59" i="14"/>
  <c r="B58" i="14"/>
  <c r="J58" i="14"/>
  <c r="B57" i="14"/>
  <c r="J57" i="14"/>
  <c r="B56" i="14"/>
  <c r="J56" i="14"/>
  <c r="B55" i="14"/>
  <c r="J55" i="14"/>
  <c r="B54" i="14"/>
  <c r="J54" i="14"/>
  <c r="B53" i="14"/>
  <c r="J53" i="14"/>
  <c r="B52" i="14"/>
  <c r="J52" i="14"/>
  <c r="B51" i="14"/>
  <c r="J51" i="14"/>
  <c r="B50" i="14"/>
  <c r="J50" i="14"/>
  <c r="B49" i="14"/>
  <c r="J49" i="14"/>
  <c r="B48" i="14"/>
  <c r="J48" i="14"/>
  <c r="B47" i="14"/>
  <c r="J47" i="14"/>
  <c r="B46" i="14"/>
  <c r="J46" i="14"/>
  <c r="B45" i="14"/>
  <c r="J45" i="14"/>
  <c r="B44" i="14"/>
  <c r="J44" i="14"/>
  <c r="B43" i="14"/>
  <c r="J43" i="14"/>
  <c r="B42" i="14"/>
  <c r="J42" i="14"/>
  <c r="B41" i="14"/>
  <c r="J41" i="14"/>
  <c r="B40" i="14"/>
  <c r="J40" i="14"/>
  <c r="B39" i="14"/>
  <c r="J39" i="14"/>
  <c r="B38" i="14"/>
  <c r="J38" i="14"/>
  <c r="B37" i="14"/>
  <c r="J37" i="14"/>
  <c r="B36" i="14"/>
  <c r="J36" i="14"/>
  <c r="B35" i="14"/>
  <c r="J35" i="14"/>
  <c r="B34" i="14"/>
  <c r="J34" i="14"/>
  <c r="B33" i="14"/>
  <c r="J33" i="14"/>
  <c r="B32" i="14"/>
  <c r="J32" i="14"/>
  <c r="B31" i="14"/>
  <c r="J31" i="14"/>
  <c r="B30" i="14"/>
  <c r="J30" i="14"/>
  <c r="B29" i="14"/>
  <c r="J29" i="14"/>
  <c r="B28" i="14"/>
  <c r="J28" i="14"/>
  <c r="B27" i="14"/>
  <c r="J27" i="14"/>
  <c r="B26" i="14"/>
  <c r="J26" i="14"/>
  <c r="B25" i="14"/>
  <c r="J25" i="14"/>
  <c r="B24" i="14"/>
  <c r="J24" i="14"/>
  <c r="B23" i="14"/>
  <c r="J23" i="14"/>
  <c r="B22" i="14"/>
  <c r="J22" i="14"/>
  <c r="B21" i="14"/>
  <c r="J21" i="14"/>
  <c r="B20" i="14"/>
  <c r="J20" i="14"/>
  <c r="B19" i="14"/>
  <c r="J19" i="14"/>
  <c r="B18" i="14"/>
  <c r="J18" i="14"/>
  <c r="B17" i="14"/>
  <c r="J17" i="14"/>
  <c r="B16" i="14"/>
  <c r="J16" i="14"/>
  <c r="B15" i="14"/>
  <c r="J15" i="14"/>
  <c r="B14" i="14"/>
  <c r="J14" i="14"/>
  <c r="B13" i="14"/>
  <c r="J13" i="14"/>
  <c r="B12" i="14"/>
  <c r="J12" i="14"/>
  <c r="B11" i="14"/>
  <c r="J11" i="14"/>
  <c r="B10" i="14"/>
  <c r="J10" i="14"/>
  <c r="B9" i="14"/>
  <c r="J9" i="14"/>
  <c r="B8" i="14"/>
  <c r="J8" i="14"/>
  <c r="B7" i="14"/>
  <c r="J7" i="14"/>
  <c r="A39" i="7"/>
  <c r="A38" i="7"/>
  <c r="E4" i="7"/>
  <c r="B3" i="16"/>
  <c r="C3" i="16"/>
  <c r="D3" i="16"/>
  <c r="E3" i="16"/>
  <c r="F3" i="16"/>
  <c r="G3" i="16"/>
  <c r="F5" i="16"/>
  <c r="E5" i="16"/>
  <c r="D5" i="16"/>
  <c r="C5" i="16"/>
  <c r="B5" i="16"/>
  <c r="A105" i="14"/>
  <c r="H5" i="14"/>
  <c r="P5" i="14"/>
  <c r="P6" i="14"/>
  <c r="H6" i="14"/>
  <c r="N6" i="14"/>
  <c r="M6" i="14"/>
  <c r="L6" i="14"/>
  <c r="K6" i="14"/>
  <c r="J6" i="14"/>
  <c r="C101" i="14"/>
  <c r="D101" i="14"/>
  <c r="E101" i="14"/>
  <c r="F101" i="14"/>
  <c r="C100" i="14"/>
  <c r="D100" i="14"/>
  <c r="E100" i="14"/>
  <c r="F100" i="14"/>
  <c r="C99" i="14"/>
  <c r="D99" i="14"/>
  <c r="E99" i="14"/>
  <c r="F99" i="14"/>
  <c r="C98" i="14"/>
  <c r="D98" i="14"/>
  <c r="E98" i="14"/>
  <c r="F98" i="14"/>
  <c r="C97" i="14"/>
  <c r="D97" i="14"/>
  <c r="E97" i="14"/>
  <c r="F97" i="14"/>
  <c r="C96" i="14"/>
  <c r="D96" i="14"/>
  <c r="E96" i="14"/>
  <c r="F96" i="14"/>
  <c r="C95" i="14"/>
  <c r="D95" i="14"/>
  <c r="E95" i="14"/>
  <c r="F95" i="14"/>
  <c r="C94" i="14"/>
  <c r="D94" i="14"/>
  <c r="E94" i="14"/>
  <c r="F94" i="14"/>
  <c r="C93" i="14"/>
  <c r="D93" i="14"/>
  <c r="E93" i="14"/>
  <c r="F93" i="14"/>
  <c r="C92" i="14"/>
  <c r="D92" i="14"/>
  <c r="E92" i="14"/>
  <c r="F92" i="14"/>
  <c r="C91" i="14"/>
  <c r="D91" i="14"/>
  <c r="E91" i="14"/>
  <c r="F91" i="14"/>
  <c r="C90" i="14"/>
  <c r="D90" i="14"/>
  <c r="E90" i="14"/>
  <c r="F90" i="14"/>
  <c r="C89" i="14"/>
  <c r="D89" i="14"/>
  <c r="E89" i="14"/>
  <c r="F89" i="14"/>
  <c r="C88" i="14"/>
  <c r="D88" i="14"/>
  <c r="E88" i="14"/>
  <c r="F88" i="14"/>
  <c r="C87" i="14"/>
  <c r="D87" i="14"/>
  <c r="E87" i="14"/>
  <c r="F87" i="14"/>
  <c r="C86" i="14"/>
  <c r="D86" i="14"/>
  <c r="E86" i="14"/>
  <c r="F86" i="14"/>
  <c r="C85" i="14"/>
  <c r="D85" i="14"/>
  <c r="E85" i="14"/>
  <c r="F85" i="14"/>
  <c r="C84" i="14"/>
  <c r="D84" i="14"/>
  <c r="E84" i="14"/>
  <c r="F84" i="14"/>
  <c r="C83" i="14"/>
  <c r="D83" i="14"/>
  <c r="E83" i="14"/>
  <c r="F83" i="14"/>
  <c r="C82" i="14"/>
  <c r="D82" i="14"/>
  <c r="E82" i="14"/>
  <c r="F82" i="14"/>
  <c r="C81" i="14"/>
  <c r="D81" i="14"/>
  <c r="E81" i="14"/>
  <c r="F81" i="14"/>
  <c r="C80" i="14"/>
  <c r="D80" i="14"/>
  <c r="E80" i="14"/>
  <c r="F80" i="14"/>
  <c r="C79" i="14"/>
  <c r="D79" i="14"/>
  <c r="E79" i="14"/>
  <c r="F79" i="14"/>
  <c r="C78" i="14"/>
  <c r="D78" i="14"/>
  <c r="E78" i="14"/>
  <c r="F78" i="14"/>
  <c r="C77" i="14"/>
  <c r="D77" i="14"/>
  <c r="E77" i="14"/>
  <c r="F77" i="14"/>
  <c r="C76" i="14"/>
  <c r="D76" i="14"/>
  <c r="E76" i="14"/>
  <c r="F76" i="14"/>
  <c r="C75" i="14"/>
  <c r="D75" i="14"/>
  <c r="E75" i="14"/>
  <c r="F75" i="14"/>
  <c r="C74" i="14"/>
  <c r="D74" i="14"/>
  <c r="E74" i="14"/>
  <c r="F74" i="14"/>
  <c r="C73" i="14"/>
  <c r="D73" i="14"/>
  <c r="E73" i="14"/>
  <c r="F73" i="14"/>
  <c r="C72" i="14"/>
  <c r="D72" i="14"/>
  <c r="E72" i="14"/>
  <c r="F72" i="14"/>
  <c r="C71" i="14"/>
  <c r="D71" i="14"/>
  <c r="E71" i="14"/>
  <c r="F71" i="14"/>
  <c r="C70" i="14"/>
  <c r="D70" i="14"/>
  <c r="E70" i="14"/>
  <c r="F70" i="14"/>
  <c r="C69" i="14"/>
  <c r="D69" i="14"/>
  <c r="E69" i="14"/>
  <c r="F69" i="14"/>
  <c r="C68" i="14"/>
  <c r="D68" i="14"/>
  <c r="E68" i="14"/>
  <c r="F68" i="14"/>
  <c r="C67" i="14"/>
  <c r="D67" i="14"/>
  <c r="E67" i="14"/>
  <c r="F67" i="14"/>
  <c r="C66" i="14"/>
  <c r="D66" i="14"/>
  <c r="E66" i="14"/>
  <c r="F66" i="14"/>
  <c r="C65" i="14"/>
  <c r="D65" i="14"/>
  <c r="E65" i="14"/>
  <c r="F65" i="14"/>
  <c r="C64" i="14"/>
  <c r="D64" i="14"/>
  <c r="E64" i="14"/>
  <c r="F64" i="14"/>
  <c r="C63" i="14"/>
  <c r="D63" i="14"/>
  <c r="E63" i="14"/>
  <c r="F63" i="14"/>
  <c r="C62" i="14"/>
  <c r="D62" i="14"/>
  <c r="E62" i="14"/>
  <c r="F62" i="14"/>
  <c r="C61" i="14"/>
  <c r="D61" i="14"/>
  <c r="E61" i="14"/>
  <c r="F61" i="14"/>
  <c r="C60" i="14"/>
  <c r="D60" i="14"/>
  <c r="E60" i="14"/>
  <c r="F60" i="14"/>
  <c r="C59" i="14"/>
  <c r="D59" i="14"/>
  <c r="E59" i="14"/>
  <c r="F59" i="14"/>
  <c r="C58" i="14"/>
  <c r="D58" i="14"/>
  <c r="E58" i="14"/>
  <c r="F58" i="14"/>
  <c r="C57" i="14"/>
  <c r="D57" i="14"/>
  <c r="E57" i="14"/>
  <c r="F57" i="14"/>
  <c r="C56" i="14"/>
  <c r="D56" i="14"/>
  <c r="E56" i="14"/>
  <c r="F56" i="14"/>
  <c r="C55" i="14"/>
  <c r="D55" i="14"/>
  <c r="E55" i="14"/>
  <c r="F55" i="14"/>
  <c r="C54" i="14"/>
  <c r="D54" i="14"/>
  <c r="E54" i="14"/>
  <c r="F54" i="14"/>
  <c r="C53" i="14"/>
  <c r="D53" i="14"/>
  <c r="E53" i="14"/>
  <c r="F53" i="14"/>
  <c r="C52" i="14"/>
  <c r="D52" i="14"/>
  <c r="E52" i="14"/>
  <c r="F52" i="14"/>
  <c r="C51" i="14"/>
  <c r="D51" i="14"/>
  <c r="E51" i="14"/>
  <c r="F51" i="14"/>
  <c r="C50" i="14"/>
  <c r="D50" i="14"/>
  <c r="E50" i="14"/>
  <c r="F50" i="14"/>
  <c r="C49" i="14"/>
  <c r="D49" i="14"/>
  <c r="E49" i="14"/>
  <c r="F49" i="14"/>
  <c r="C48" i="14"/>
  <c r="D48" i="14"/>
  <c r="E48" i="14"/>
  <c r="F48" i="14"/>
  <c r="C47" i="14"/>
  <c r="D47" i="14"/>
  <c r="E47" i="14"/>
  <c r="F47" i="14"/>
  <c r="C46" i="14"/>
  <c r="D46" i="14"/>
  <c r="E46" i="14"/>
  <c r="F46" i="14"/>
  <c r="C45" i="14"/>
  <c r="D45" i="14"/>
  <c r="E45" i="14"/>
  <c r="F45" i="14"/>
  <c r="C44" i="14"/>
  <c r="D44" i="14"/>
  <c r="E44" i="14"/>
  <c r="F44" i="14"/>
  <c r="C43" i="14"/>
  <c r="D43" i="14"/>
  <c r="E43" i="14"/>
  <c r="F43" i="14"/>
  <c r="C42" i="14"/>
  <c r="D42" i="14"/>
  <c r="E42" i="14"/>
  <c r="F42" i="14"/>
  <c r="C41" i="14"/>
  <c r="D41" i="14"/>
  <c r="E41" i="14"/>
  <c r="F41" i="14"/>
  <c r="C40" i="14"/>
  <c r="D40" i="14"/>
  <c r="E40" i="14"/>
  <c r="F40" i="14"/>
  <c r="C39" i="14"/>
  <c r="D39" i="14"/>
  <c r="E39" i="14"/>
  <c r="F39" i="14"/>
  <c r="C38" i="14"/>
  <c r="D38" i="14"/>
  <c r="E38" i="14"/>
  <c r="F38" i="14"/>
  <c r="C37" i="14"/>
  <c r="D37" i="14"/>
  <c r="E37" i="14"/>
  <c r="F37" i="14"/>
  <c r="C36" i="14"/>
  <c r="D36" i="14"/>
  <c r="E36" i="14"/>
  <c r="F36" i="14"/>
  <c r="C35" i="14"/>
  <c r="D35" i="14"/>
  <c r="E35" i="14"/>
  <c r="F35" i="14"/>
  <c r="C34" i="14"/>
  <c r="D34" i="14"/>
  <c r="E34" i="14"/>
  <c r="F34" i="14"/>
  <c r="C33" i="14"/>
  <c r="D33" i="14"/>
  <c r="E33" i="14"/>
  <c r="F33" i="14"/>
  <c r="C32" i="14"/>
  <c r="D32" i="14"/>
  <c r="E32" i="14"/>
  <c r="F32" i="14"/>
  <c r="C31" i="14"/>
  <c r="D31" i="14"/>
  <c r="E31" i="14"/>
  <c r="F31" i="14"/>
  <c r="C30" i="14"/>
  <c r="D30" i="14"/>
  <c r="E30" i="14"/>
  <c r="F30" i="14"/>
  <c r="C29" i="14"/>
  <c r="D29" i="14"/>
  <c r="E29" i="14"/>
  <c r="F29" i="14"/>
  <c r="C28" i="14"/>
  <c r="D28" i="14"/>
  <c r="E28" i="14"/>
  <c r="F28" i="14"/>
  <c r="C27" i="14"/>
  <c r="D27" i="14"/>
  <c r="E27" i="14"/>
  <c r="F27" i="14"/>
  <c r="C26" i="14"/>
  <c r="D26" i="14"/>
  <c r="E26" i="14"/>
  <c r="F26" i="14"/>
  <c r="C25" i="14"/>
  <c r="D25" i="14"/>
  <c r="E25" i="14"/>
  <c r="F25" i="14"/>
  <c r="C24" i="14"/>
  <c r="D24" i="14"/>
  <c r="E24" i="14"/>
  <c r="F24" i="14"/>
  <c r="C23" i="14"/>
  <c r="D23" i="14"/>
  <c r="E23" i="14"/>
  <c r="F23" i="14"/>
  <c r="C22" i="14"/>
  <c r="D22" i="14"/>
  <c r="E22" i="14"/>
  <c r="F22" i="14"/>
  <c r="C21" i="14"/>
  <c r="D21" i="14"/>
  <c r="E21" i="14"/>
  <c r="F21" i="14"/>
  <c r="C20" i="14"/>
  <c r="D20" i="14"/>
  <c r="E20" i="14"/>
  <c r="F20" i="14"/>
  <c r="C19" i="14"/>
  <c r="D19" i="14"/>
  <c r="E19" i="14"/>
  <c r="F19" i="14"/>
  <c r="C18" i="14"/>
  <c r="D18" i="14"/>
  <c r="E18" i="14"/>
  <c r="F18" i="14"/>
  <c r="C17" i="14"/>
  <c r="D17" i="14"/>
  <c r="E17" i="14"/>
  <c r="F17" i="14"/>
  <c r="C16" i="14"/>
  <c r="D16" i="14"/>
  <c r="E16" i="14"/>
  <c r="F16" i="14"/>
  <c r="C15" i="14"/>
  <c r="D15" i="14"/>
  <c r="E15" i="14"/>
  <c r="F15" i="14"/>
  <c r="C14" i="14"/>
  <c r="D14" i="14"/>
  <c r="E14" i="14"/>
  <c r="F14" i="14"/>
  <c r="C13" i="14"/>
  <c r="D13" i="14"/>
  <c r="E13" i="14"/>
  <c r="F13" i="14"/>
  <c r="C12" i="14"/>
  <c r="D12" i="14"/>
  <c r="E12" i="14"/>
  <c r="F12" i="14"/>
  <c r="C11" i="14"/>
  <c r="D11" i="14"/>
  <c r="E11" i="14"/>
  <c r="F11" i="14"/>
  <c r="C10" i="14"/>
  <c r="D10" i="14"/>
  <c r="E10" i="14"/>
  <c r="F10" i="14"/>
  <c r="C9" i="14"/>
  <c r="D9" i="14"/>
  <c r="E9" i="14"/>
  <c r="F9" i="14"/>
  <c r="C8" i="14"/>
  <c r="D8" i="14"/>
  <c r="E8" i="14"/>
  <c r="F8" i="14"/>
  <c r="C7" i="14"/>
  <c r="D7" i="14"/>
  <c r="E7" i="14"/>
  <c r="F7" i="14"/>
  <c r="B3" i="14"/>
  <c r="C3" i="14"/>
  <c r="D3" i="14"/>
  <c r="E3" i="14"/>
  <c r="F3" i="14"/>
  <c r="G3" i="14"/>
  <c r="B6" i="14"/>
  <c r="F6" i="14"/>
  <c r="E6" i="14"/>
  <c r="D6" i="14"/>
  <c r="C6" i="14"/>
  <c r="A1" i="13"/>
  <c r="A1" i="11"/>
  <c r="A1" i="9"/>
  <c r="A1" i="2"/>
  <c r="A1" i="12"/>
  <c r="A1" i="10"/>
  <c r="A1" i="8"/>
  <c r="A1" i="1"/>
  <c r="B10" i="12"/>
  <c r="B10" i="13"/>
  <c r="F6" i="13"/>
  <c r="B105" i="12"/>
  <c r="B15" i="12"/>
  <c r="M103" i="12"/>
  <c r="C19" i="12"/>
  <c r="C20" i="12"/>
  <c r="C21" i="12"/>
  <c r="C22" i="12"/>
  <c r="C23" i="12"/>
  <c r="C24" i="12"/>
  <c r="C25" i="12"/>
  <c r="C26" i="12"/>
  <c r="C27" i="12"/>
  <c r="C28" i="12"/>
  <c r="C29" i="12"/>
  <c r="C30" i="12"/>
  <c r="C31" i="12"/>
  <c r="C32" i="12"/>
  <c r="C33" i="12"/>
  <c r="C34" i="12"/>
  <c r="C35" i="12"/>
  <c r="C36" i="12"/>
  <c r="C37" i="12"/>
  <c r="C38" i="12"/>
  <c r="C39" i="12"/>
  <c r="C40" i="12"/>
  <c r="C41" i="12"/>
  <c r="C42" i="12"/>
  <c r="C43" i="12"/>
  <c r="C44" i="12"/>
  <c r="C45" i="12"/>
  <c r="C46" i="12"/>
  <c r="C47" i="12"/>
  <c r="C48" i="12"/>
  <c r="C49" i="12"/>
  <c r="C50" i="12"/>
  <c r="C51" i="12"/>
  <c r="C52" i="12"/>
  <c r="C53" i="12"/>
  <c r="C54" i="12"/>
  <c r="C55" i="12"/>
  <c r="C56" i="12"/>
  <c r="C57" i="12"/>
  <c r="C58" i="12"/>
  <c r="C59" i="12"/>
  <c r="C60" i="12"/>
  <c r="C61" i="12"/>
  <c r="C62" i="12"/>
  <c r="C63" i="12"/>
  <c r="C64" i="12"/>
  <c r="C65" i="12"/>
  <c r="C66" i="12"/>
  <c r="C67" i="12"/>
  <c r="C68" i="12"/>
  <c r="C69" i="12"/>
  <c r="C70" i="12"/>
  <c r="C71" i="12"/>
  <c r="C72" i="12"/>
  <c r="C73" i="12"/>
  <c r="C74" i="12"/>
  <c r="C75" i="12"/>
  <c r="C76" i="12"/>
  <c r="C77" i="12"/>
  <c r="C78" i="12"/>
  <c r="C79" i="12"/>
  <c r="C80" i="12"/>
  <c r="C81" i="12"/>
  <c r="C82" i="12"/>
  <c r="C83" i="12"/>
  <c r="C84" i="12"/>
  <c r="C85" i="12"/>
  <c r="C86" i="12"/>
  <c r="C87" i="12"/>
  <c r="C88" i="12"/>
  <c r="C89" i="12"/>
  <c r="C90" i="12"/>
  <c r="C91" i="12"/>
  <c r="C92" i="12"/>
  <c r="C93" i="12"/>
  <c r="C94" i="12"/>
  <c r="C95" i="12"/>
  <c r="C96" i="12"/>
  <c r="C97" i="12"/>
  <c r="C98" i="12"/>
  <c r="C99" i="12"/>
  <c r="C100" i="12"/>
  <c r="C101" i="12"/>
  <c r="C102" i="12"/>
  <c r="C103" i="12"/>
  <c r="M102" i="12"/>
  <c r="M101" i="12"/>
  <c r="M100" i="12"/>
  <c r="M99" i="12"/>
  <c r="M98" i="12"/>
  <c r="M97" i="12"/>
  <c r="M96" i="12"/>
  <c r="M95" i="12"/>
  <c r="M94" i="12"/>
  <c r="M93" i="12"/>
  <c r="M92" i="12"/>
  <c r="M91" i="12"/>
  <c r="M90" i="12"/>
  <c r="M89" i="12"/>
  <c r="M88" i="12"/>
  <c r="M87" i="12"/>
  <c r="M86" i="12"/>
  <c r="M85" i="12"/>
  <c r="M84" i="12"/>
  <c r="M83" i="12"/>
  <c r="M82" i="12"/>
  <c r="M81" i="12"/>
  <c r="M80" i="12"/>
  <c r="M79" i="12"/>
  <c r="M78" i="12"/>
  <c r="M77" i="12"/>
  <c r="M76" i="12"/>
  <c r="M75" i="12"/>
  <c r="M74" i="12"/>
  <c r="M73" i="12"/>
  <c r="M72" i="12"/>
  <c r="M71" i="12"/>
  <c r="M70" i="12"/>
  <c r="M69" i="12"/>
  <c r="M68" i="12"/>
  <c r="M67" i="12"/>
  <c r="M66" i="12"/>
  <c r="M65" i="12"/>
  <c r="M64" i="12"/>
  <c r="M63" i="12"/>
  <c r="M62" i="12"/>
  <c r="M61" i="12"/>
  <c r="M60" i="12"/>
  <c r="M59" i="12"/>
  <c r="M58" i="12"/>
  <c r="M57" i="12"/>
  <c r="M56" i="12"/>
  <c r="M55" i="12"/>
  <c r="M54" i="12"/>
  <c r="M53" i="12"/>
  <c r="M52" i="12"/>
  <c r="M51" i="12"/>
  <c r="M50" i="12"/>
  <c r="M49" i="12"/>
  <c r="M48" i="12"/>
  <c r="M47" i="12"/>
  <c r="M46" i="12"/>
  <c r="M45" i="12"/>
  <c r="M44" i="12"/>
  <c r="M43" i="12"/>
  <c r="M42" i="12"/>
  <c r="M41" i="12"/>
  <c r="M40" i="12"/>
  <c r="M39" i="12"/>
  <c r="M38" i="12"/>
  <c r="M37" i="12"/>
  <c r="M36" i="12"/>
  <c r="M35" i="12"/>
  <c r="M34" i="12"/>
  <c r="M33" i="12"/>
  <c r="M32" i="12"/>
  <c r="M31" i="12"/>
  <c r="M30" i="12"/>
  <c r="M29" i="12"/>
  <c r="M28" i="12"/>
  <c r="M27" i="12"/>
  <c r="M26" i="12"/>
  <c r="M25" i="12"/>
  <c r="M24" i="12"/>
  <c r="M23" i="12"/>
  <c r="M22" i="12"/>
  <c r="M21" i="12"/>
  <c r="M20" i="12"/>
  <c r="M19" i="12"/>
  <c r="M17" i="12"/>
  <c r="B6" i="12"/>
  <c r="B10" i="10"/>
  <c r="B10" i="11"/>
  <c r="F6" i="11"/>
  <c r="B105" i="10"/>
  <c r="B15" i="10"/>
  <c r="M103"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M102" i="10"/>
  <c r="M101" i="10"/>
  <c r="M100" i="10"/>
  <c r="M99" i="10"/>
  <c r="M98" i="10"/>
  <c r="M97" i="10"/>
  <c r="M96" i="10"/>
  <c r="M95" i="10"/>
  <c r="M94" i="10"/>
  <c r="M93" i="10"/>
  <c r="M92" i="10"/>
  <c r="M91" i="10"/>
  <c r="M90" i="10"/>
  <c r="M89" i="10"/>
  <c r="M88" i="10"/>
  <c r="M87" i="10"/>
  <c r="M86" i="10"/>
  <c r="M85" i="10"/>
  <c r="M84" i="10"/>
  <c r="M83" i="10"/>
  <c r="M82" i="10"/>
  <c r="M81" i="10"/>
  <c r="M80" i="10"/>
  <c r="M79" i="10"/>
  <c r="M78" i="10"/>
  <c r="M77" i="10"/>
  <c r="M76" i="10"/>
  <c r="M75" i="10"/>
  <c r="M74" i="10"/>
  <c r="M73" i="10"/>
  <c r="M72" i="10"/>
  <c r="M71" i="10"/>
  <c r="M70" i="10"/>
  <c r="M69" i="10"/>
  <c r="M68" i="10"/>
  <c r="M67" i="10"/>
  <c r="M66" i="10"/>
  <c r="M65" i="10"/>
  <c r="M64" i="10"/>
  <c r="M63" i="10"/>
  <c r="M62" i="10"/>
  <c r="M61" i="10"/>
  <c r="M60" i="10"/>
  <c r="M59" i="10"/>
  <c r="M58" i="10"/>
  <c r="M57" i="10"/>
  <c r="M56" i="10"/>
  <c r="M55" i="10"/>
  <c r="M54" i="10"/>
  <c r="M53" i="10"/>
  <c r="M52" i="10"/>
  <c r="M51" i="10"/>
  <c r="M50" i="10"/>
  <c r="M49" i="10"/>
  <c r="M48" i="10"/>
  <c r="M47" i="10"/>
  <c r="M46" i="10"/>
  <c r="M45" i="10"/>
  <c r="M44" i="10"/>
  <c r="M43" i="10"/>
  <c r="M42" i="10"/>
  <c r="M41" i="10"/>
  <c r="M40" i="10"/>
  <c r="M39" i="10"/>
  <c r="M38" i="10"/>
  <c r="M37" i="10"/>
  <c r="M36" i="10"/>
  <c r="M35" i="10"/>
  <c r="M34" i="10"/>
  <c r="M33" i="10"/>
  <c r="M32" i="10"/>
  <c r="M31" i="10"/>
  <c r="M30" i="10"/>
  <c r="M29" i="10"/>
  <c r="M28" i="10"/>
  <c r="M27" i="10"/>
  <c r="M26" i="10"/>
  <c r="M25" i="10"/>
  <c r="M24" i="10"/>
  <c r="M23" i="10"/>
  <c r="M22" i="10"/>
  <c r="M21" i="10"/>
  <c r="M20" i="10"/>
  <c r="M19" i="10"/>
  <c r="M17" i="10"/>
  <c r="B6" i="10"/>
  <c r="B10" i="8"/>
  <c r="B10" i="9"/>
  <c r="F6" i="9"/>
  <c r="B105" i="8"/>
  <c r="B15" i="8"/>
  <c r="M103"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C79" i="8"/>
  <c r="C80" i="8"/>
  <c r="C81" i="8"/>
  <c r="C82" i="8"/>
  <c r="C83" i="8"/>
  <c r="C84" i="8"/>
  <c r="C85" i="8"/>
  <c r="C86" i="8"/>
  <c r="C87" i="8"/>
  <c r="C88" i="8"/>
  <c r="C89" i="8"/>
  <c r="C90" i="8"/>
  <c r="C91" i="8"/>
  <c r="C92" i="8"/>
  <c r="C93" i="8"/>
  <c r="C94" i="8"/>
  <c r="C95" i="8"/>
  <c r="C96" i="8"/>
  <c r="C97" i="8"/>
  <c r="C98" i="8"/>
  <c r="C99" i="8"/>
  <c r="C100" i="8"/>
  <c r="C101" i="8"/>
  <c r="C102" i="8"/>
  <c r="C103" i="8"/>
  <c r="M102" i="8"/>
  <c r="M101" i="8"/>
  <c r="M100" i="8"/>
  <c r="M99" i="8"/>
  <c r="M98" i="8"/>
  <c r="M97" i="8"/>
  <c r="M96" i="8"/>
  <c r="M95" i="8"/>
  <c r="M94" i="8"/>
  <c r="M93" i="8"/>
  <c r="M92" i="8"/>
  <c r="M91" i="8"/>
  <c r="M90" i="8"/>
  <c r="M89" i="8"/>
  <c r="M88" i="8"/>
  <c r="M87" i="8"/>
  <c r="M86" i="8"/>
  <c r="M85" i="8"/>
  <c r="M84" i="8"/>
  <c r="M83" i="8"/>
  <c r="M82" i="8"/>
  <c r="M81" i="8"/>
  <c r="M80" i="8"/>
  <c r="M79" i="8"/>
  <c r="M78" i="8"/>
  <c r="M77" i="8"/>
  <c r="M76" i="8"/>
  <c r="M75" i="8"/>
  <c r="M74" i="8"/>
  <c r="M73" i="8"/>
  <c r="M72" i="8"/>
  <c r="M71" i="8"/>
  <c r="M70" i="8"/>
  <c r="M69" i="8"/>
  <c r="M68" i="8"/>
  <c r="M67" i="8"/>
  <c r="M66" i="8"/>
  <c r="M65" i="8"/>
  <c r="M64" i="8"/>
  <c r="M63" i="8"/>
  <c r="M62" i="8"/>
  <c r="M61" i="8"/>
  <c r="M60" i="8"/>
  <c r="M59" i="8"/>
  <c r="M58" i="8"/>
  <c r="M57" i="8"/>
  <c r="M56" i="8"/>
  <c r="M55" i="8"/>
  <c r="M54" i="8"/>
  <c r="M53" i="8"/>
  <c r="M52" i="8"/>
  <c r="M51" i="8"/>
  <c r="M50" i="8"/>
  <c r="M49" i="8"/>
  <c r="M48" i="8"/>
  <c r="M47" i="8"/>
  <c r="M46" i="8"/>
  <c r="M45" i="8"/>
  <c r="M44" i="8"/>
  <c r="M43" i="8"/>
  <c r="M42" i="8"/>
  <c r="M41" i="8"/>
  <c r="M40" i="8"/>
  <c r="M39" i="8"/>
  <c r="M38" i="8"/>
  <c r="M37" i="8"/>
  <c r="M36" i="8"/>
  <c r="M35" i="8"/>
  <c r="M34" i="8"/>
  <c r="M33" i="8"/>
  <c r="M32" i="8"/>
  <c r="M31" i="8"/>
  <c r="M30" i="8"/>
  <c r="M29" i="8"/>
  <c r="M28" i="8"/>
  <c r="M27" i="8"/>
  <c r="M26" i="8"/>
  <c r="M25" i="8"/>
  <c r="M24" i="8"/>
  <c r="M23" i="8"/>
  <c r="M22" i="8"/>
  <c r="M21" i="8"/>
  <c r="M20" i="8"/>
  <c r="M19" i="8"/>
  <c r="M17" i="8"/>
  <c r="B6" i="8"/>
  <c r="G15" i="7"/>
  <c r="A42" i="7"/>
  <c r="A41" i="7"/>
  <c r="A40" i="7"/>
  <c r="C16" i="2"/>
  <c r="F6" i="2"/>
  <c r="B6" i="1"/>
  <c r="B10" i="2"/>
  <c r="B15"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7" i="1"/>
  <c r="V20" i="2"/>
  <c r="V21" i="2"/>
  <c r="V22" i="2"/>
  <c r="V23" i="2"/>
  <c r="V24" i="2"/>
  <c r="V25" i="2"/>
  <c r="V26" i="2"/>
  <c r="V27" i="2"/>
  <c r="V28" i="2"/>
  <c r="V29" i="2"/>
  <c r="V30" i="2"/>
  <c r="V31" i="2"/>
  <c r="V32" i="2"/>
  <c r="V33" i="2"/>
  <c r="V34" i="2"/>
  <c r="V35" i="2"/>
  <c r="V36" i="2"/>
  <c r="V37" i="2"/>
  <c r="V38" i="2"/>
  <c r="V39" i="2"/>
  <c r="V40" i="2"/>
  <c r="V41" i="2"/>
  <c r="V42" i="2"/>
  <c r="V43" i="2"/>
  <c r="V44" i="2"/>
  <c r="V45" i="2"/>
  <c r="V46" i="2"/>
  <c r="V47" i="2"/>
  <c r="V48" i="2"/>
  <c r="V49" i="2"/>
  <c r="V50" i="2"/>
  <c r="V51" i="2"/>
  <c r="V52" i="2"/>
  <c r="V53" i="2"/>
  <c r="V54" i="2"/>
  <c r="V55" i="2"/>
  <c r="V56" i="2"/>
  <c r="V57" i="2"/>
  <c r="V58" i="2"/>
  <c r="V59" i="2"/>
  <c r="V60" i="2"/>
  <c r="V61" i="2"/>
  <c r="V62" i="2"/>
  <c r="V63" i="2"/>
  <c r="V64" i="2"/>
  <c r="V65" i="2"/>
  <c r="V66" i="2"/>
  <c r="V67" i="2"/>
  <c r="V68" i="2"/>
  <c r="V69" i="2"/>
  <c r="V70" i="2"/>
  <c r="V71" i="2"/>
  <c r="V72" i="2"/>
  <c r="V73" i="2"/>
  <c r="V74" i="2"/>
  <c r="V75" i="2"/>
  <c r="V76" i="2"/>
  <c r="V77" i="2"/>
  <c r="V78" i="2"/>
  <c r="V79" i="2"/>
  <c r="V80" i="2"/>
  <c r="V81" i="2"/>
  <c r="V82" i="2"/>
  <c r="V83" i="2"/>
  <c r="V84" i="2"/>
  <c r="V85" i="2"/>
  <c r="V86" i="2"/>
  <c r="V87" i="2"/>
  <c r="V88" i="2"/>
  <c r="V89" i="2"/>
  <c r="V90" i="2"/>
  <c r="V91" i="2"/>
  <c r="V92" i="2"/>
  <c r="V93" i="2"/>
  <c r="V94" i="2"/>
  <c r="V95" i="2"/>
  <c r="V96" i="2"/>
  <c r="V97" i="2"/>
  <c r="V98" i="2"/>
  <c r="V99" i="2"/>
  <c r="V100" i="2"/>
  <c r="V101" i="2"/>
  <c r="V102" i="2"/>
  <c r="V103" i="2"/>
  <c r="V19" i="2"/>
  <c r="O103" i="1"/>
  <c r="O102" i="1"/>
  <c r="O101" i="1"/>
  <c r="O100" i="1"/>
  <c r="O99" i="1"/>
  <c r="O98" i="1"/>
  <c r="O97" i="1"/>
  <c r="O96" i="1"/>
  <c r="O95" i="1"/>
  <c r="O94" i="1"/>
  <c r="O93" i="1"/>
  <c r="O92" i="1"/>
  <c r="O91" i="1"/>
  <c r="O90" i="1"/>
  <c r="O89" i="1"/>
  <c r="O88" i="1"/>
  <c r="O87" i="1"/>
  <c r="O86" i="1"/>
  <c r="O8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N103" i="1"/>
  <c r="N102" i="1"/>
  <c r="N101" i="1"/>
  <c r="N100" i="1"/>
  <c r="N99" i="1"/>
  <c r="N98" i="1"/>
  <c r="N97" i="1"/>
  <c r="N96" i="1"/>
  <c r="N95" i="1"/>
  <c r="N94" i="1"/>
  <c r="N93" i="1"/>
  <c r="N92" i="1"/>
  <c r="N91" i="1"/>
  <c r="N90" i="1"/>
  <c r="N89" i="1"/>
  <c r="N88" i="1"/>
  <c r="N87" i="1"/>
  <c r="N86" i="1"/>
  <c r="N85" i="1"/>
  <c r="N84" i="1"/>
  <c r="N83" i="1"/>
  <c r="N82" i="1"/>
  <c r="N81" i="1"/>
  <c r="N80" i="1"/>
  <c r="N79" i="1"/>
  <c r="N78" i="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N16" i="1"/>
  <c r="N17" i="1"/>
  <c r="G7" i="14"/>
  <c r="H7" i="14"/>
  <c r="G8" i="14"/>
  <c r="H8" i="14"/>
  <c r="G9" i="14"/>
  <c r="H9" i="14"/>
  <c r="G10" i="14"/>
  <c r="H10" i="14"/>
  <c r="G11" i="14"/>
  <c r="H11" i="14"/>
  <c r="G12" i="14"/>
  <c r="H12" i="14"/>
  <c r="G13" i="14"/>
  <c r="H13" i="14"/>
  <c r="G14" i="14"/>
  <c r="H14" i="14"/>
  <c r="G15" i="14"/>
  <c r="H15" i="14"/>
  <c r="G16" i="14"/>
  <c r="H16" i="14"/>
  <c r="G17" i="14"/>
  <c r="H17" i="14"/>
  <c r="G18" i="14"/>
  <c r="H18" i="14"/>
  <c r="G19" i="14"/>
  <c r="H19" i="14"/>
  <c r="G20" i="14"/>
  <c r="H20" i="14"/>
  <c r="G21" i="14"/>
  <c r="H21" i="14"/>
  <c r="G22" i="14"/>
  <c r="H22" i="14"/>
  <c r="G23" i="14"/>
  <c r="H23" i="14"/>
  <c r="G24" i="14"/>
  <c r="H24" i="14"/>
  <c r="G25" i="14"/>
  <c r="H25" i="14"/>
  <c r="G26" i="14"/>
  <c r="H26" i="14"/>
  <c r="G27" i="14"/>
  <c r="H27" i="14"/>
  <c r="G28" i="14"/>
  <c r="H28" i="14"/>
  <c r="G29" i="14"/>
  <c r="H29" i="14"/>
  <c r="G30" i="14"/>
  <c r="H30" i="14"/>
  <c r="G31" i="14"/>
  <c r="H31" i="14"/>
  <c r="G32" i="14"/>
  <c r="H32" i="14"/>
  <c r="G33" i="14"/>
  <c r="H33" i="14"/>
  <c r="G34" i="14"/>
  <c r="H34" i="14"/>
  <c r="G35" i="14"/>
  <c r="H35" i="14"/>
  <c r="G36" i="14"/>
  <c r="H36" i="14"/>
  <c r="G37" i="14"/>
  <c r="H37" i="14"/>
  <c r="G38" i="14"/>
  <c r="H38" i="14"/>
  <c r="G39" i="14"/>
  <c r="H39" i="14"/>
  <c r="G40" i="14"/>
  <c r="H40" i="14"/>
  <c r="G41" i="14"/>
  <c r="H41" i="14"/>
  <c r="G42" i="14"/>
  <c r="H42" i="14"/>
  <c r="G43" i="14"/>
  <c r="H43" i="14"/>
  <c r="G44" i="14"/>
  <c r="H44" i="14"/>
  <c r="G45" i="14"/>
  <c r="H45" i="14"/>
  <c r="G46" i="14"/>
  <c r="H46" i="14"/>
  <c r="G47" i="14"/>
  <c r="H47" i="14"/>
  <c r="G48" i="14"/>
  <c r="H48" i="14"/>
  <c r="G49" i="14"/>
  <c r="H49" i="14"/>
  <c r="G50" i="14"/>
  <c r="H50" i="14"/>
  <c r="G51" i="14"/>
  <c r="H51" i="14"/>
  <c r="G52" i="14"/>
  <c r="H52" i="14"/>
  <c r="G53" i="14"/>
  <c r="H53" i="14"/>
  <c r="G54" i="14"/>
  <c r="H54" i="14"/>
  <c r="G55" i="14"/>
  <c r="H55" i="14"/>
  <c r="G56" i="14"/>
  <c r="H56" i="14"/>
  <c r="G57" i="14"/>
  <c r="H57" i="14"/>
  <c r="G58" i="14"/>
  <c r="H58" i="14"/>
  <c r="G59" i="14"/>
  <c r="H59" i="14"/>
  <c r="G60" i="14"/>
  <c r="H60" i="14"/>
  <c r="G61" i="14"/>
  <c r="H61" i="14"/>
  <c r="G62" i="14"/>
  <c r="H62" i="14"/>
  <c r="G63" i="14"/>
  <c r="H63" i="14"/>
  <c r="G64" i="14"/>
  <c r="H64" i="14"/>
  <c r="G65" i="14"/>
  <c r="H65" i="14"/>
  <c r="G66" i="14"/>
  <c r="H66" i="14"/>
  <c r="G67" i="14"/>
  <c r="H67" i="14"/>
  <c r="G68" i="14"/>
  <c r="H68" i="14"/>
  <c r="G69" i="14"/>
  <c r="H69" i="14"/>
  <c r="G70" i="14"/>
  <c r="H70" i="14"/>
  <c r="G71" i="14"/>
  <c r="H71" i="14"/>
  <c r="G72" i="14"/>
  <c r="H72" i="14"/>
  <c r="G73" i="14"/>
  <c r="H73" i="14"/>
  <c r="G74" i="14"/>
  <c r="H74" i="14"/>
  <c r="G75" i="14"/>
  <c r="H75" i="14"/>
  <c r="G76" i="14"/>
  <c r="H76" i="14"/>
  <c r="G77" i="14"/>
  <c r="H77" i="14"/>
  <c r="G78" i="14"/>
  <c r="H78" i="14"/>
  <c r="G79" i="14"/>
  <c r="H79" i="14"/>
  <c r="G80" i="14"/>
  <c r="H80" i="14"/>
  <c r="G81" i="14"/>
  <c r="H81" i="14"/>
  <c r="G82" i="14"/>
  <c r="H82" i="14"/>
  <c r="G83" i="14"/>
  <c r="H83" i="14"/>
  <c r="G84" i="14"/>
  <c r="H84" i="14"/>
  <c r="G85" i="14"/>
  <c r="H85" i="14"/>
  <c r="G86" i="14"/>
  <c r="H86" i="14"/>
  <c r="G87" i="14"/>
  <c r="H87" i="14"/>
  <c r="G88" i="14"/>
  <c r="H88" i="14"/>
  <c r="G89" i="14"/>
  <c r="H89" i="14"/>
  <c r="G90" i="14"/>
  <c r="H90" i="14"/>
  <c r="G91" i="14"/>
  <c r="H91" i="14"/>
  <c r="G92" i="14"/>
  <c r="H92" i="14"/>
  <c r="G93" i="14"/>
  <c r="H93" i="14"/>
  <c r="G94" i="14"/>
  <c r="H94" i="14"/>
  <c r="G95" i="14"/>
  <c r="H95" i="14"/>
  <c r="G96" i="14"/>
  <c r="H96" i="14"/>
  <c r="G97" i="14"/>
  <c r="H97" i="14"/>
  <c r="G98" i="14"/>
  <c r="H98" i="14"/>
  <c r="G99" i="14"/>
  <c r="H99" i="14"/>
  <c r="G100" i="14"/>
  <c r="H100" i="14"/>
  <c r="G101" i="14"/>
  <c r="H101" i="14"/>
  <c r="G8" i="16"/>
  <c r="E16" i="2"/>
  <c r="F14" i="2"/>
  <c r="G103" i="2"/>
  <c r="M103" i="2"/>
  <c r="N103" i="2"/>
  <c r="L103" i="2"/>
  <c r="P103" i="2"/>
  <c r="Q103" i="2"/>
  <c r="G19" i="2"/>
  <c r="M19" i="2"/>
  <c r="N19" i="2"/>
  <c r="L19" i="2"/>
  <c r="P19" i="2"/>
  <c r="Q19" i="2"/>
  <c r="G20" i="2"/>
  <c r="M20" i="2"/>
  <c r="N20" i="2"/>
  <c r="L20" i="2"/>
  <c r="P20" i="2"/>
  <c r="Q20" i="2"/>
  <c r="G21" i="2"/>
  <c r="M21" i="2"/>
  <c r="N21" i="2"/>
  <c r="L21" i="2"/>
  <c r="P21" i="2"/>
  <c r="Q21" i="2"/>
  <c r="G22" i="2"/>
  <c r="M22" i="2"/>
  <c r="N22" i="2"/>
  <c r="L22" i="2"/>
  <c r="P22" i="2"/>
  <c r="Q22" i="2"/>
  <c r="G23" i="2"/>
  <c r="M23" i="2"/>
  <c r="N23" i="2"/>
  <c r="L23" i="2"/>
  <c r="P23" i="2"/>
  <c r="Q23" i="2"/>
  <c r="G24" i="2"/>
  <c r="M24" i="2"/>
  <c r="N24" i="2"/>
  <c r="L24" i="2"/>
  <c r="P24" i="2"/>
  <c r="Q24" i="2"/>
  <c r="G25" i="2"/>
  <c r="M25" i="2"/>
  <c r="N25" i="2"/>
  <c r="L25" i="2"/>
  <c r="P25" i="2"/>
  <c r="Q25" i="2"/>
  <c r="G26" i="2"/>
  <c r="M26" i="2"/>
  <c r="N26" i="2"/>
  <c r="L26" i="2"/>
  <c r="P26" i="2"/>
  <c r="Q26" i="2"/>
  <c r="G27" i="2"/>
  <c r="M27" i="2"/>
  <c r="N27" i="2"/>
  <c r="L27" i="2"/>
  <c r="P27" i="2"/>
  <c r="Q27" i="2"/>
  <c r="G28" i="2"/>
  <c r="M28" i="2"/>
  <c r="N28" i="2"/>
  <c r="L28" i="2"/>
  <c r="P28" i="2"/>
  <c r="Q28" i="2"/>
  <c r="G29" i="2"/>
  <c r="M29" i="2"/>
  <c r="N29" i="2"/>
  <c r="L29" i="2"/>
  <c r="P29" i="2"/>
  <c r="Q29" i="2"/>
  <c r="G30" i="2"/>
  <c r="M30" i="2"/>
  <c r="N30" i="2"/>
  <c r="L30" i="2"/>
  <c r="P30" i="2"/>
  <c r="Q30" i="2"/>
  <c r="G31" i="2"/>
  <c r="M31" i="2"/>
  <c r="N31" i="2"/>
  <c r="L31" i="2"/>
  <c r="P31" i="2"/>
  <c r="Q31" i="2"/>
  <c r="G32" i="2"/>
  <c r="M32" i="2"/>
  <c r="N32" i="2"/>
  <c r="L32" i="2"/>
  <c r="P32" i="2"/>
  <c r="Q32" i="2"/>
  <c r="G33" i="2"/>
  <c r="M33" i="2"/>
  <c r="N33" i="2"/>
  <c r="L33" i="2"/>
  <c r="P33" i="2"/>
  <c r="Q33" i="2"/>
  <c r="G34" i="2"/>
  <c r="M34" i="2"/>
  <c r="N34" i="2"/>
  <c r="L34" i="2"/>
  <c r="P34" i="2"/>
  <c r="Q34" i="2"/>
  <c r="G35" i="2"/>
  <c r="M35" i="2"/>
  <c r="N35" i="2"/>
  <c r="L35" i="2"/>
  <c r="P35" i="2"/>
  <c r="Q35" i="2"/>
  <c r="G36" i="2"/>
  <c r="M36" i="2"/>
  <c r="N36" i="2"/>
  <c r="L36" i="2"/>
  <c r="P36" i="2"/>
  <c r="Q36" i="2"/>
  <c r="G37" i="2"/>
  <c r="M37" i="2"/>
  <c r="N37" i="2"/>
  <c r="L37" i="2"/>
  <c r="P37" i="2"/>
  <c r="Q37" i="2"/>
  <c r="G38" i="2"/>
  <c r="M38" i="2"/>
  <c r="N38" i="2"/>
  <c r="L38" i="2"/>
  <c r="P38" i="2"/>
  <c r="Q38" i="2"/>
  <c r="G39" i="2"/>
  <c r="M39" i="2"/>
  <c r="N39" i="2"/>
  <c r="L39" i="2"/>
  <c r="P39" i="2"/>
  <c r="Q39" i="2"/>
  <c r="G40" i="2"/>
  <c r="M40" i="2"/>
  <c r="N40" i="2"/>
  <c r="L40" i="2"/>
  <c r="P40" i="2"/>
  <c r="Q40" i="2"/>
  <c r="G41" i="2"/>
  <c r="M41" i="2"/>
  <c r="N41" i="2"/>
  <c r="L41" i="2"/>
  <c r="P41" i="2"/>
  <c r="Q41" i="2"/>
  <c r="G42" i="2"/>
  <c r="M42" i="2"/>
  <c r="N42" i="2"/>
  <c r="L42" i="2"/>
  <c r="P42" i="2"/>
  <c r="Q42" i="2"/>
  <c r="G43" i="2"/>
  <c r="M43" i="2"/>
  <c r="N43" i="2"/>
  <c r="L43" i="2"/>
  <c r="P43" i="2"/>
  <c r="Q43" i="2"/>
  <c r="G44" i="2"/>
  <c r="M44" i="2"/>
  <c r="N44" i="2"/>
  <c r="L44" i="2"/>
  <c r="P44" i="2"/>
  <c r="Q44" i="2"/>
  <c r="G45" i="2"/>
  <c r="M45" i="2"/>
  <c r="N45" i="2"/>
  <c r="L45" i="2"/>
  <c r="P45" i="2"/>
  <c r="Q45" i="2"/>
  <c r="G46" i="2"/>
  <c r="M46" i="2"/>
  <c r="N46" i="2"/>
  <c r="L46" i="2"/>
  <c r="P46" i="2"/>
  <c r="Q46" i="2"/>
  <c r="G47" i="2"/>
  <c r="M47" i="2"/>
  <c r="N47" i="2"/>
  <c r="L47" i="2"/>
  <c r="P47" i="2"/>
  <c r="Q47" i="2"/>
  <c r="G48" i="2"/>
  <c r="M48" i="2"/>
  <c r="N48" i="2"/>
  <c r="L48" i="2"/>
  <c r="P48" i="2"/>
  <c r="Q48" i="2"/>
  <c r="G49" i="2"/>
  <c r="M49" i="2"/>
  <c r="N49" i="2"/>
  <c r="L49" i="2"/>
  <c r="P49" i="2"/>
  <c r="Q49" i="2"/>
  <c r="G50" i="2"/>
  <c r="M50" i="2"/>
  <c r="N50" i="2"/>
  <c r="L50" i="2"/>
  <c r="P50" i="2"/>
  <c r="Q50" i="2"/>
  <c r="G51" i="2"/>
  <c r="M51" i="2"/>
  <c r="N51" i="2"/>
  <c r="L51" i="2"/>
  <c r="P51" i="2"/>
  <c r="Q51" i="2"/>
  <c r="G52" i="2"/>
  <c r="M52" i="2"/>
  <c r="N52" i="2"/>
  <c r="L52" i="2"/>
  <c r="P52" i="2"/>
  <c r="Q52" i="2"/>
  <c r="G53" i="2"/>
  <c r="M53" i="2"/>
  <c r="N53" i="2"/>
  <c r="L53" i="2"/>
  <c r="P53" i="2"/>
  <c r="Q53" i="2"/>
  <c r="G54" i="2"/>
  <c r="M54" i="2"/>
  <c r="N54" i="2"/>
  <c r="L54" i="2"/>
  <c r="P54" i="2"/>
  <c r="Q54" i="2"/>
  <c r="G55" i="2"/>
  <c r="M55" i="2"/>
  <c r="N55" i="2"/>
  <c r="L55" i="2"/>
  <c r="P55" i="2"/>
  <c r="Q55" i="2"/>
  <c r="G56" i="2"/>
  <c r="M56" i="2"/>
  <c r="N56" i="2"/>
  <c r="L56" i="2"/>
  <c r="P56" i="2"/>
  <c r="Q56" i="2"/>
  <c r="G57" i="2"/>
  <c r="M57" i="2"/>
  <c r="N57" i="2"/>
  <c r="L57" i="2"/>
  <c r="P57" i="2"/>
  <c r="Q57" i="2"/>
  <c r="G58" i="2"/>
  <c r="M58" i="2"/>
  <c r="N58" i="2"/>
  <c r="L58" i="2"/>
  <c r="P58" i="2"/>
  <c r="Q58" i="2"/>
  <c r="G59" i="2"/>
  <c r="M59" i="2"/>
  <c r="N59" i="2"/>
  <c r="L59" i="2"/>
  <c r="P59" i="2"/>
  <c r="Q59" i="2"/>
  <c r="G60" i="2"/>
  <c r="M60" i="2"/>
  <c r="N60" i="2"/>
  <c r="L60" i="2"/>
  <c r="P60" i="2"/>
  <c r="Q60" i="2"/>
  <c r="G61" i="2"/>
  <c r="M61" i="2"/>
  <c r="N61" i="2"/>
  <c r="L61" i="2"/>
  <c r="P61" i="2"/>
  <c r="Q61" i="2"/>
  <c r="G62" i="2"/>
  <c r="M62" i="2"/>
  <c r="N62" i="2"/>
  <c r="L62" i="2"/>
  <c r="P62" i="2"/>
  <c r="Q62" i="2"/>
  <c r="G63" i="2"/>
  <c r="M63" i="2"/>
  <c r="N63" i="2"/>
  <c r="L63" i="2"/>
  <c r="P63" i="2"/>
  <c r="Q63" i="2"/>
  <c r="G64" i="2"/>
  <c r="M64" i="2"/>
  <c r="N64" i="2"/>
  <c r="L64" i="2"/>
  <c r="P64" i="2"/>
  <c r="Q64" i="2"/>
  <c r="G65" i="2"/>
  <c r="M65" i="2"/>
  <c r="N65" i="2"/>
  <c r="L65" i="2"/>
  <c r="P65" i="2"/>
  <c r="Q65" i="2"/>
  <c r="G66" i="2"/>
  <c r="M66" i="2"/>
  <c r="N66" i="2"/>
  <c r="L66" i="2"/>
  <c r="P66" i="2"/>
  <c r="Q66" i="2"/>
  <c r="G67" i="2"/>
  <c r="M67" i="2"/>
  <c r="N67" i="2"/>
  <c r="L67" i="2"/>
  <c r="P67" i="2"/>
  <c r="Q67" i="2"/>
  <c r="G68" i="2"/>
  <c r="M68" i="2"/>
  <c r="N68" i="2"/>
  <c r="L68" i="2"/>
  <c r="P68" i="2"/>
  <c r="Q68" i="2"/>
  <c r="G69" i="2"/>
  <c r="M69" i="2"/>
  <c r="N69" i="2"/>
  <c r="L69" i="2"/>
  <c r="P69" i="2"/>
  <c r="Q69" i="2"/>
  <c r="G70" i="2"/>
  <c r="M70" i="2"/>
  <c r="N70" i="2"/>
  <c r="L70" i="2"/>
  <c r="P70" i="2"/>
  <c r="Q70" i="2"/>
  <c r="G71" i="2"/>
  <c r="M71" i="2"/>
  <c r="N71" i="2"/>
  <c r="L71" i="2"/>
  <c r="P71" i="2"/>
  <c r="Q71" i="2"/>
  <c r="G72" i="2"/>
  <c r="M72" i="2"/>
  <c r="N72" i="2"/>
  <c r="L72" i="2"/>
  <c r="P72" i="2"/>
  <c r="Q72" i="2"/>
  <c r="G73" i="2"/>
  <c r="M73" i="2"/>
  <c r="N73" i="2"/>
  <c r="L73" i="2"/>
  <c r="P73" i="2"/>
  <c r="Q73" i="2"/>
  <c r="G74" i="2"/>
  <c r="M74" i="2"/>
  <c r="N74" i="2"/>
  <c r="L74" i="2"/>
  <c r="P74" i="2"/>
  <c r="Q74" i="2"/>
  <c r="G75" i="2"/>
  <c r="M75" i="2"/>
  <c r="N75" i="2"/>
  <c r="L75" i="2"/>
  <c r="P75" i="2"/>
  <c r="Q75" i="2"/>
  <c r="G76" i="2"/>
  <c r="M76" i="2"/>
  <c r="N76" i="2"/>
  <c r="L76" i="2"/>
  <c r="P76" i="2"/>
  <c r="Q76" i="2"/>
  <c r="G77" i="2"/>
  <c r="M77" i="2"/>
  <c r="N77" i="2"/>
  <c r="L77" i="2"/>
  <c r="P77" i="2"/>
  <c r="Q77" i="2"/>
  <c r="G78" i="2"/>
  <c r="M78" i="2"/>
  <c r="N78" i="2"/>
  <c r="L78" i="2"/>
  <c r="P78" i="2"/>
  <c r="Q78" i="2"/>
  <c r="G79" i="2"/>
  <c r="M79" i="2"/>
  <c r="N79" i="2"/>
  <c r="L79" i="2"/>
  <c r="P79" i="2"/>
  <c r="Q79" i="2"/>
  <c r="G80" i="2"/>
  <c r="M80" i="2"/>
  <c r="N80" i="2"/>
  <c r="L80" i="2"/>
  <c r="P80" i="2"/>
  <c r="Q80" i="2"/>
  <c r="G81" i="2"/>
  <c r="M81" i="2"/>
  <c r="N81" i="2"/>
  <c r="L81" i="2"/>
  <c r="P81" i="2"/>
  <c r="Q81" i="2"/>
  <c r="G82" i="2"/>
  <c r="M82" i="2"/>
  <c r="N82" i="2"/>
  <c r="L82" i="2"/>
  <c r="P82" i="2"/>
  <c r="Q82" i="2"/>
  <c r="G83" i="2"/>
  <c r="M83" i="2"/>
  <c r="N83" i="2"/>
  <c r="L83" i="2"/>
  <c r="P83" i="2"/>
  <c r="Q83" i="2"/>
  <c r="G84" i="2"/>
  <c r="M84" i="2"/>
  <c r="N84" i="2"/>
  <c r="L84" i="2"/>
  <c r="P84" i="2"/>
  <c r="Q84" i="2"/>
  <c r="G85" i="2"/>
  <c r="M85" i="2"/>
  <c r="N85" i="2"/>
  <c r="L85" i="2"/>
  <c r="P85" i="2"/>
  <c r="Q85" i="2"/>
  <c r="G86" i="2"/>
  <c r="M86" i="2"/>
  <c r="N86" i="2"/>
  <c r="L86" i="2"/>
  <c r="P86" i="2"/>
  <c r="Q86" i="2"/>
  <c r="G87" i="2"/>
  <c r="M87" i="2"/>
  <c r="N87" i="2"/>
  <c r="L87" i="2"/>
  <c r="P87" i="2"/>
  <c r="Q87" i="2"/>
  <c r="G88" i="2"/>
  <c r="M88" i="2"/>
  <c r="N88" i="2"/>
  <c r="L88" i="2"/>
  <c r="P88" i="2"/>
  <c r="Q88" i="2"/>
  <c r="G89" i="2"/>
  <c r="M89" i="2"/>
  <c r="N89" i="2"/>
  <c r="L89" i="2"/>
  <c r="P89" i="2"/>
  <c r="Q89" i="2"/>
  <c r="G90" i="2"/>
  <c r="M90" i="2"/>
  <c r="N90" i="2"/>
  <c r="L90" i="2"/>
  <c r="P90" i="2"/>
  <c r="Q90" i="2"/>
  <c r="G91" i="2"/>
  <c r="M91" i="2"/>
  <c r="N91" i="2"/>
  <c r="L91" i="2"/>
  <c r="P91" i="2"/>
  <c r="Q91" i="2"/>
  <c r="G92" i="2"/>
  <c r="M92" i="2"/>
  <c r="N92" i="2"/>
  <c r="L92" i="2"/>
  <c r="P92" i="2"/>
  <c r="Q92" i="2"/>
  <c r="G93" i="2"/>
  <c r="M93" i="2"/>
  <c r="N93" i="2"/>
  <c r="L93" i="2"/>
  <c r="P93" i="2"/>
  <c r="Q93" i="2"/>
  <c r="G94" i="2"/>
  <c r="M94" i="2"/>
  <c r="N94" i="2"/>
  <c r="L94" i="2"/>
  <c r="P94" i="2"/>
  <c r="Q94" i="2"/>
  <c r="G95" i="2"/>
  <c r="M95" i="2"/>
  <c r="N95" i="2"/>
  <c r="L95" i="2"/>
  <c r="P95" i="2"/>
  <c r="Q95" i="2"/>
  <c r="G96" i="2"/>
  <c r="M96" i="2"/>
  <c r="N96" i="2"/>
  <c r="L96" i="2"/>
  <c r="P96" i="2"/>
  <c r="Q96" i="2"/>
  <c r="G97" i="2"/>
  <c r="M97" i="2"/>
  <c r="N97" i="2"/>
  <c r="L97" i="2"/>
  <c r="P97" i="2"/>
  <c r="Q97" i="2"/>
  <c r="G98" i="2"/>
  <c r="M98" i="2"/>
  <c r="N98" i="2"/>
  <c r="L98" i="2"/>
  <c r="P98" i="2"/>
  <c r="Q98" i="2"/>
  <c r="G99" i="2"/>
  <c r="M99" i="2"/>
  <c r="N99" i="2"/>
  <c r="L99" i="2"/>
  <c r="P99" i="2"/>
  <c r="Q99" i="2"/>
  <c r="G100" i="2"/>
  <c r="M100" i="2"/>
  <c r="N100" i="2"/>
  <c r="L100" i="2"/>
  <c r="P100" i="2"/>
  <c r="Q100" i="2"/>
  <c r="G101" i="2"/>
  <c r="M101" i="2"/>
  <c r="N101" i="2"/>
  <c r="L101" i="2"/>
  <c r="P101" i="2"/>
  <c r="Q101" i="2"/>
  <c r="G102" i="2"/>
  <c r="M102" i="2"/>
  <c r="N102" i="2"/>
  <c r="L102" i="2"/>
  <c r="P102" i="2"/>
  <c r="Q102" i="2"/>
  <c r="Q16"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B50" i="2"/>
  <c r="AB51" i="2"/>
  <c r="AB52" i="2"/>
  <c r="AB53" i="2"/>
  <c r="AB54" i="2"/>
  <c r="AB55" i="2"/>
  <c r="AB56" i="2"/>
  <c r="AB57" i="2"/>
  <c r="AB58" i="2"/>
  <c r="AB59" i="2"/>
  <c r="AB60" i="2"/>
  <c r="AB61" i="2"/>
  <c r="AB62" i="2"/>
  <c r="AB63" i="2"/>
  <c r="AB64" i="2"/>
  <c r="AB65" i="2"/>
  <c r="AB66" i="2"/>
  <c r="AB67" i="2"/>
  <c r="AB68" i="2"/>
  <c r="AB69" i="2"/>
  <c r="AB70" i="2"/>
  <c r="AB71" i="2"/>
  <c r="AB72" i="2"/>
  <c r="AB73" i="2"/>
  <c r="AB74" i="2"/>
  <c r="AB75" i="2"/>
  <c r="AB76" i="2"/>
  <c r="AB77" i="2"/>
  <c r="AB78" i="2"/>
  <c r="AB79" i="2"/>
  <c r="AB80" i="2"/>
  <c r="AB81" i="2"/>
  <c r="AB82" i="2"/>
  <c r="AB83" i="2"/>
  <c r="AB84" i="2"/>
  <c r="AB85" i="2"/>
  <c r="AB86" i="2"/>
  <c r="AB87" i="2"/>
  <c r="AB88" i="2"/>
  <c r="AB89" i="2"/>
  <c r="AB90" i="2"/>
  <c r="AB91" i="2"/>
  <c r="AB92" i="2"/>
  <c r="AB93" i="2"/>
  <c r="AB94" i="2"/>
  <c r="AB95" i="2"/>
  <c r="AB96" i="2"/>
  <c r="AB97" i="2"/>
  <c r="AB98" i="2"/>
  <c r="AB99" i="2"/>
  <c r="AB100" i="2"/>
  <c r="AB101" i="2"/>
  <c r="AB102" i="2"/>
  <c r="AB103" i="2"/>
  <c r="K101" i="14"/>
  <c r="K100" i="14"/>
  <c r="C13" i="16"/>
  <c r="D16" i="2"/>
  <c r="B7" i="16"/>
  <c r="C7" i="16"/>
  <c r="C19" i="16"/>
  <c r="B9" i="8"/>
  <c r="F61" i="8"/>
  <c r="J61" i="8"/>
  <c r="E61" i="8"/>
  <c r="G61" i="8"/>
  <c r="H61" i="8"/>
  <c r="I61" i="8"/>
  <c r="K61" i="8"/>
  <c r="H61" i="9"/>
  <c r="AA61" i="9"/>
  <c r="F82" i="8"/>
  <c r="J82" i="8"/>
  <c r="E82" i="8"/>
  <c r="G82" i="8"/>
  <c r="H82" i="8"/>
  <c r="I82" i="8"/>
  <c r="K82" i="8"/>
  <c r="H82" i="9"/>
  <c r="AA82" i="9"/>
  <c r="F93" i="8"/>
  <c r="J93" i="8"/>
  <c r="E93" i="8"/>
  <c r="G93" i="8"/>
  <c r="H93" i="8"/>
  <c r="I93" i="8"/>
  <c r="K93" i="8"/>
  <c r="H93" i="9"/>
  <c r="AA93" i="9"/>
  <c r="F98" i="8"/>
  <c r="J98" i="8"/>
  <c r="E98" i="8"/>
  <c r="G98" i="8"/>
  <c r="H98" i="8"/>
  <c r="I98" i="8"/>
  <c r="K98" i="8"/>
  <c r="H98" i="9"/>
  <c r="AA98" i="9"/>
  <c r="F19" i="8"/>
  <c r="J19" i="8"/>
  <c r="K19" i="8"/>
  <c r="H19" i="9"/>
  <c r="AA19" i="9"/>
  <c r="B9" i="9"/>
  <c r="L17" i="9"/>
  <c r="E19" i="8"/>
  <c r="B19" i="9"/>
  <c r="C19" i="9"/>
  <c r="F19" i="9"/>
  <c r="F20" i="8"/>
  <c r="J20" i="8"/>
  <c r="K20" i="8"/>
  <c r="H20" i="9"/>
  <c r="AA20" i="9"/>
  <c r="E20" i="8"/>
  <c r="B20" i="9"/>
  <c r="C20" i="9"/>
  <c r="F20" i="9"/>
  <c r="F21" i="8"/>
  <c r="J21" i="8"/>
  <c r="K21" i="8"/>
  <c r="H21" i="9"/>
  <c r="AA21" i="9"/>
  <c r="E21" i="8"/>
  <c r="B21" i="9"/>
  <c r="C21" i="9"/>
  <c r="F21" i="9"/>
  <c r="F22" i="8"/>
  <c r="J22" i="8"/>
  <c r="K22" i="8"/>
  <c r="H22" i="9"/>
  <c r="AA22" i="9"/>
  <c r="E22" i="8"/>
  <c r="B22" i="9"/>
  <c r="C22" i="9"/>
  <c r="F22" i="9"/>
  <c r="F23" i="8"/>
  <c r="J23" i="8"/>
  <c r="K23" i="8"/>
  <c r="H23" i="9"/>
  <c r="AA23" i="9"/>
  <c r="E23" i="8"/>
  <c r="B23" i="9"/>
  <c r="C23" i="9"/>
  <c r="F23" i="9"/>
  <c r="F24" i="8"/>
  <c r="J24" i="8"/>
  <c r="K24" i="8"/>
  <c r="H24" i="9"/>
  <c r="AA24" i="9"/>
  <c r="E24" i="8"/>
  <c r="B24" i="9"/>
  <c r="C24" i="9"/>
  <c r="F24" i="9"/>
  <c r="F25" i="8"/>
  <c r="J25" i="8"/>
  <c r="K25" i="8"/>
  <c r="H25" i="9"/>
  <c r="AA25" i="9"/>
  <c r="E25" i="8"/>
  <c r="B25" i="9"/>
  <c r="C25" i="9"/>
  <c r="F25" i="9"/>
  <c r="F26" i="8"/>
  <c r="J26" i="8"/>
  <c r="K26" i="8"/>
  <c r="H26" i="9"/>
  <c r="AA26" i="9"/>
  <c r="E26" i="8"/>
  <c r="B26" i="9"/>
  <c r="C26" i="9"/>
  <c r="F26" i="9"/>
  <c r="F27" i="8"/>
  <c r="J27" i="8"/>
  <c r="K27" i="8"/>
  <c r="H27" i="9"/>
  <c r="AA27" i="9"/>
  <c r="E27" i="8"/>
  <c r="B27" i="9"/>
  <c r="C27" i="9"/>
  <c r="F27" i="9"/>
  <c r="F28" i="8"/>
  <c r="J28" i="8"/>
  <c r="K28" i="8"/>
  <c r="H28" i="9"/>
  <c r="AA28" i="9"/>
  <c r="E28" i="8"/>
  <c r="B28" i="9"/>
  <c r="C28" i="9"/>
  <c r="F28" i="9"/>
  <c r="F29" i="8"/>
  <c r="J29" i="8"/>
  <c r="K29" i="8"/>
  <c r="H29" i="9"/>
  <c r="AA29" i="9"/>
  <c r="E29" i="8"/>
  <c r="B29" i="9"/>
  <c r="C29" i="9"/>
  <c r="F29" i="9"/>
  <c r="F30" i="8"/>
  <c r="J30" i="8"/>
  <c r="K30" i="8"/>
  <c r="H30" i="9"/>
  <c r="AA30" i="9"/>
  <c r="E30" i="8"/>
  <c r="B30" i="9"/>
  <c r="C30" i="9"/>
  <c r="F30" i="9"/>
  <c r="F31" i="8"/>
  <c r="J31" i="8"/>
  <c r="K31" i="8"/>
  <c r="H31" i="9"/>
  <c r="AA31" i="9"/>
  <c r="E31" i="8"/>
  <c r="B31" i="9"/>
  <c r="C31" i="9"/>
  <c r="F31" i="9"/>
  <c r="F32" i="8"/>
  <c r="J32" i="8"/>
  <c r="K32" i="8"/>
  <c r="H32" i="9"/>
  <c r="AA32" i="9"/>
  <c r="E32" i="8"/>
  <c r="B32" i="9"/>
  <c r="C32" i="9"/>
  <c r="F32" i="9"/>
  <c r="F33" i="8"/>
  <c r="J33" i="8"/>
  <c r="K33" i="8"/>
  <c r="H33" i="9"/>
  <c r="AA33" i="9"/>
  <c r="E33" i="8"/>
  <c r="B33" i="9"/>
  <c r="C33" i="9"/>
  <c r="F33" i="9"/>
  <c r="F34" i="8"/>
  <c r="J34" i="8"/>
  <c r="K34" i="8"/>
  <c r="H34" i="9"/>
  <c r="AA34" i="9"/>
  <c r="E34" i="8"/>
  <c r="B34" i="9"/>
  <c r="C34" i="9"/>
  <c r="F34" i="9"/>
  <c r="F35" i="8"/>
  <c r="J35" i="8"/>
  <c r="K35" i="8"/>
  <c r="H35" i="9"/>
  <c r="AA35" i="9"/>
  <c r="E35" i="8"/>
  <c r="B35" i="9"/>
  <c r="C35" i="9"/>
  <c r="F35" i="9"/>
  <c r="F36" i="8"/>
  <c r="J36" i="8"/>
  <c r="K36" i="8"/>
  <c r="H36" i="9"/>
  <c r="AA36" i="9"/>
  <c r="E36" i="8"/>
  <c r="B36" i="9"/>
  <c r="C36" i="9"/>
  <c r="F36" i="9"/>
  <c r="F37" i="8"/>
  <c r="J37" i="8"/>
  <c r="K37" i="8"/>
  <c r="H37" i="9"/>
  <c r="AA37" i="9"/>
  <c r="E37" i="8"/>
  <c r="B37" i="9"/>
  <c r="C37" i="9"/>
  <c r="F37" i="9"/>
  <c r="F38" i="8"/>
  <c r="J38" i="8"/>
  <c r="K38" i="8"/>
  <c r="H38" i="9"/>
  <c r="AA38" i="9"/>
  <c r="E38" i="8"/>
  <c r="B38" i="9"/>
  <c r="C38" i="9"/>
  <c r="F38" i="9"/>
  <c r="F39" i="8"/>
  <c r="J39" i="8"/>
  <c r="K39" i="8"/>
  <c r="H39" i="9"/>
  <c r="AA39" i="9"/>
  <c r="E39" i="8"/>
  <c r="B39" i="9"/>
  <c r="C39" i="9"/>
  <c r="F39" i="9"/>
  <c r="F40" i="8"/>
  <c r="J40" i="8"/>
  <c r="K40" i="8"/>
  <c r="H40" i="9"/>
  <c r="AA40" i="9"/>
  <c r="E40" i="8"/>
  <c r="B40" i="9"/>
  <c r="C40" i="9"/>
  <c r="F40" i="9"/>
  <c r="F41" i="8"/>
  <c r="J41" i="8"/>
  <c r="E41" i="8"/>
  <c r="G41" i="8"/>
  <c r="H41" i="8"/>
  <c r="I41" i="8"/>
  <c r="K41" i="8"/>
  <c r="H41" i="9"/>
  <c r="AA41" i="9"/>
  <c r="B41" i="9"/>
  <c r="C41" i="9"/>
  <c r="F41" i="9"/>
  <c r="F42" i="8"/>
  <c r="J42" i="8"/>
  <c r="E42" i="8"/>
  <c r="G42" i="8"/>
  <c r="H42" i="8"/>
  <c r="I42" i="8"/>
  <c r="K42" i="8"/>
  <c r="H42" i="9"/>
  <c r="AA42" i="9"/>
  <c r="B42" i="9"/>
  <c r="C42" i="9"/>
  <c r="F42" i="9"/>
  <c r="F43" i="8"/>
  <c r="J43" i="8"/>
  <c r="E43" i="8"/>
  <c r="G43" i="8"/>
  <c r="H43" i="8"/>
  <c r="I43" i="8"/>
  <c r="K43" i="8"/>
  <c r="H43" i="9"/>
  <c r="AA43" i="9"/>
  <c r="B43" i="9"/>
  <c r="C43" i="9"/>
  <c r="F43" i="9"/>
  <c r="F44" i="8"/>
  <c r="J44" i="8"/>
  <c r="E44" i="8"/>
  <c r="G44" i="8"/>
  <c r="H44" i="8"/>
  <c r="I44" i="8"/>
  <c r="K44" i="8"/>
  <c r="H44" i="9"/>
  <c r="AA44" i="9"/>
  <c r="B44" i="9"/>
  <c r="C44" i="9"/>
  <c r="F44" i="9"/>
  <c r="F45" i="8"/>
  <c r="J45" i="8"/>
  <c r="E45" i="8"/>
  <c r="G45" i="8"/>
  <c r="H45" i="8"/>
  <c r="I45" i="8"/>
  <c r="K45" i="8"/>
  <c r="H45" i="9"/>
  <c r="AA45" i="9"/>
  <c r="B45" i="9"/>
  <c r="C45" i="9"/>
  <c r="F45" i="9"/>
  <c r="F46" i="8"/>
  <c r="J46" i="8"/>
  <c r="E46" i="8"/>
  <c r="G46" i="8"/>
  <c r="H46" i="8"/>
  <c r="I46" i="8"/>
  <c r="K46" i="8"/>
  <c r="H46" i="9"/>
  <c r="AA46" i="9"/>
  <c r="B46" i="9"/>
  <c r="C46" i="9"/>
  <c r="F46" i="9"/>
  <c r="F47" i="8"/>
  <c r="J47" i="8"/>
  <c r="E47" i="8"/>
  <c r="G47" i="8"/>
  <c r="H47" i="8"/>
  <c r="I47" i="8"/>
  <c r="K47" i="8"/>
  <c r="H47" i="9"/>
  <c r="AA47" i="9"/>
  <c r="B47" i="9"/>
  <c r="C47" i="9"/>
  <c r="F47" i="9"/>
  <c r="F48" i="8"/>
  <c r="J48" i="8"/>
  <c r="E48" i="8"/>
  <c r="G48" i="8"/>
  <c r="H48" i="8"/>
  <c r="I48" i="8"/>
  <c r="K48" i="8"/>
  <c r="H48" i="9"/>
  <c r="AA48" i="9"/>
  <c r="B48" i="9"/>
  <c r="C48" i="9"/>
  <c r="F48" i="9"/>
  <c r="F49" i="8"/>
  <c r="J49" i="8"/>
  <c r="E49" i="8"/>
  <c r="G49" i="8"/>
  <c r="H49" i="8"/>
  <c r="I49" i="8"/>
  <c r="K49" i="8"/>
  <c r="H49" i="9"/>
  <c r="AA49" i="9"/>
  <c r="B49" i="9"/>
  <c r="C49" i="9"/>
  <c r="F49" i="9"/>
  <c r="F50" i="8"/>
  <c r="J50" i="8"/>
  <c r="E50" i="8"/>
  <c r="G50" i="8"/>
  <c r="H50" i="8"/>
  <c r="I50" i="8"/>
  <c r="K50" i="8"/>
  <c r="H50" i="9"/>
  <c r="AA50" i="9"/>
  <c r="B50" i="9"/>
  <c r="C50" i="9"/>
  <c r="F50" i="9"/>
  <c r="F51" i="8"/>
  <c r="J51" i="8"/>
  <c r="E51" i="8"/>
  <c r="G51" i="8"/>
  <c r="H51" i="8"/>
  <c r="I51" i="8"/>
  <c r="K51" i="8"/>
  <c r="H51" i="9"/>
  <c r="AA51" i="9"/>
  <c r="B51" i="9"/>
  <c r="C51" i="9"/>
  <c r="F51" i="9"/>
  <c r="F52" i="8"/>
  <c r="J52" i="8"/>
  <c r="E52" i="8"/>
  <c r="G52" i="8"/>
  <c r="H52" i="8"/>
  <c r="I52" i="8"/>
  <c r="K52" i="8"/>
  <c r="H52" i="9"/>
  <c r="AA52" i="9"/>
  <c r="B52" i="9"/>
  <c r="C52" i="9"/>
  <c r="F52" i="9"/>
  <c r="F53" i="8"/>
  <c r="J53" i="8"/>
  <c r="E53" i="8"/>
  <c r="G53" i="8"/>
  <c r="H53" i="8"/>
  <c r="I53" i="8"/>
  <c r="K53" i="8"/>
  <c r="H53" i="9"/>
  <c r="AA53" i="9"/>
  <c r="B53" i="9"/>
  <c r="C53" i="9"/>
  <c r="F53" i="9"/>
  <c r="F54" i="8"/>
  <c r="J54" i="8"/>
  <c r="E54" i="8"/>
  <c r="G54" i="8"/>
  <c r="H54" i="8"/>
  <c r="I54" i="8"/>
  <c r="K54" i="8"/>
  <c r="H54" i="9"/>
  <c r="AA54" i="9"/>
  <c r="B54" i="9"/>
  <c r="C54" i="9"/>
  <c r="F54" i="9"/>
  <c r="F55" i="8"/>
  <c r="J55" i="8"/>
  <c r="E55" i="8"/>
  <c r="G55" i="8"/>
  <c r="H55" i="8"/>
  <c r="I55" i="8"/>
  <c r="K55" i="8"/>
  <c r="H55" i="9"/>
  <c r="AA55" i="9"/>
  <c r="B55" i="9"/>
  <c r="C55" i="9"/>
  <c r="F55" i="9"/>
  <c r="F56" i="8"/>
  <c r="J56" i="8"/>
  <c r="E56" i="8"/>
  <c r="G56" i="8"/>
  <c r="H56" i="8"/>
  <c r="I56" i="8"/>
  <c r="K56" i="8"/>
  <c r="H56" i="9"/>
  <c r="AA56" i="9"/>
  <c r="B56" i="9"/>
  <c r="C56" i="9"/>
  <c r="F56" i="9"/>
  <c r="F57" i="8"/>
  <c r="J57" i="8"/>
  <c r="E57" i="8"/>
  <c r="G57" i="8"/>
  <c r="H57" i="8"/>
  <c r="I57" i="8"/>
  <c r="K57" i="8"/>
  <c r="H57" i="9"/>
  <c r="AA57" i="9"/>
  <c r="B57" i="9"/>
  <c r="C57" i="9"/>
  <c r="F57" i="9"/>
  <c r="F58" i="8"/>
  <c r="J58" i="8"/>
  <c r="E58" i="8"/>
  <c r="G58" i="8"/>
  <c r="H58" i="8"/>
  <c r="I58" i="8"/>
  <c r="K58" i="8"/>
  <c r="H58" i="9"/>
  <c r="AA58" i="9"/>
  <c r="B58" i="9"/>
  <c r="C58" i="9"/>
  <c r="F58" i="9"/>
  <c r="F59" i="8"/>
  <c r="J59" i="8"/>
  <c r="E59" i="8"/>
  <c r="G59" i="8"/>
  <c r="H59" i="8"/>
  <c r="I59" i="8"/>
  <c r="K59" i="8"/>
  <c r="H59" i="9"/>
  <c r="AA59" i="9"/>
  <c r="B59" i="9"/>
  <c r="C59" i="9"/>
  <c r="F59" i="9"/>
  <c r="F60" i="8"/>
  <c r="J60" i="8"/>
  <c r="E60" i="8"/>
  <c r="G60" i="8"/>
  <c r="H60" i="8"/>
  <c r="I60" i="8"/>
  <c r="K60" i="8"/>
  <c r="H60" i="9"/>
  <c r="AA60" i="9"/>
  <c r="B60" i="9"/>
  <c r="C60" i="9"/>
  <c r="F60" i="9"/>
  <c r="B61" i="9"/>
  <c r="C61" i="9"/>
  <c r="F61" i="9"/>
  <c r="F62" i="8"/>
  <c r="J62" i="8"/>
  <c r="E62" i="8"/>
  <c r="G62" i="8"/>
  <c r="H62" i="8"/>
  <c r="I62" i="8"/>
  <c r="K62" i="8"/>
  <c r="H62" i="9"/>
  <c r="AA62" i="9"/>
  <c r="B62" i="9"/>
  <c r="C62" i="9"/>
  <c r="F62" i="9"/>
  <c r="F63" i="8"/>
  <c r="J63" i="8"/>
  <c r="E63" i="8"/>
  <c r="G63" i="8"/>
  <c r="H63" i="8"/>
  <c r="I63" i="8"/>
  <c r="K63" i="8"/>
  <c r="H63" i="9"/>
  <c r="AA63" i="9"/>
  <c r="B63" i="9"/>
  <c r="C63" i="9"/>
  <c r="F63" i="9"/>
  <c r="F64" i="8"/>
  <c r="J64" i="8"/>
  <c r="E64" i="8"/>
  <c r="G64" i="8"/>
  <c r="H64" i="8"/>
  <c r="I64" i="8"/>
  <c r="K64" i="8"/>
  <c r="H64" i="9"/>
  <c r="AA64" i="9"/>
  <c r="B64" i="9"/>
  <c r="C64" i="9"/>
  <c r="F64" i="9"/>
  <c r="F65" i="8"/>
  <c r="J65" i="8"/>
  <c r="E65" i="8"/>
  <c r="G65" i="8"/>
  <c r="H65" i="8"/>
  <c r="I65" i="8"/>
  <c r="K65" i="8"/>
  <c r="H65" i="9"/>
  <c r="AA65" i="9"/>
  <c r="B65" i="9"/>
  <c r="C65" i="9"/>
  <c r="F65" i="9"/>
  <c r="F66" i="8"/>
  <c r="J66" i="8"/>
  <c r="E66" i="8"/>
  <c r="G66" i="8"/>
  <c r="H66" i="8"/>
  <c r="I66" i="8"/>
  <c r="K66" i="8"/>
  <c r="H66" i="9"/>
  <c r="AA66" i="9"/>
  <c r="B66" i="9"/>
  <c r="C66" i="9"/>
  <c r="F66" i="9"/>
  <c r="F67" i="8"/>
  <c r="J67" i="8"/>
  <c r="E67" i="8"/>
  <c r="G67" i="8"/>
  <c r="H67" i="8"/>
  <c r="I67" i="8"/>
  <c r="K67" i="8"/>
  <c r="H67" i="9"/>
  <c r="AA67" i="9"/>
  <c r="B67" i="9"/>
  <c r="C67" i="9"/>
  <c r="F67" i="9"/>
  <c r="F68" i="8"/>
  <c r="J68" i="8"/>
  <c r="E68" i="8"/>
  <c r="G68" i="8"/>
  <c r="H68" i="8"/>
  <c r="I68" i="8"/>
  <c r="K68" i="8"/>
  <c r="H68" i="9"/>
  <c r="AA68" i="9"/>
  <c r="B68" i="9"/>
  <c r="C68" i="9"/>
  <c r="F68" i="9"/>
  <c r="F69" i="8"/>
  <c r="J69" i="8"/>
  <c r="E69" i="8"/>
  <c r="G69" i="8"/>
  <c r="H69" i="8"/>
  <c r="I69" i="8"/>
  <c r="K69" i="8"/>
  <c r="H69" i="9"/>
  <c r="AA69" i="9"/>
  <c r="B69" i="9"/>
  <c r="C69" i="9"/>
  <c r="F69" i="9"/>
  <c r="F70" i="8"/>
  <c r="J70" i="8"/>
  <c r="E70" i="8"/>
  <c r="G70" i="8"/>
  <c r="H70" i="8"/>
  <c r="I70" i="8"/>
  <c r="K70" i="8"/>
  <c r="H70" i="9"/>
  <c r="AA70" i="9"/>
  <c r="B70" i="9"/>
  <c r="C70" i="9"/>
  <c r="F70" i="9"/>
  <c r="F71" i="8"/>
  <c r="J71" i="8"/>
  <c r="E71" i="8"/>
  <c r="G71" i="8"/>
  <c r="H71" i="8"/>
  <c r="I71" i="8"/>
  <c r="K71" i="8"/>
  <c r="H71" i="9"/>
  <c r="AA71" i="9"/>
  <c r="B71" i="9"/>
  <c r="C71" i="9"/>
  <c r="F71" i="9"/>
  <c r="F72" i="8"/>
  <c r="J72" i="8"/>
  <c r="E72" i="8"/>
  <c r="G72" i="8"/>
  <c r="H72" i="8"/>
  <c r="I72" i="8"/>
  <c r="K72" i="8"/>
  <c r="H72" i="9"/>
  <c r="AA72" i="9"/>
  <c r="B72" i="9"/>
  <c r="C72" i="9"/>
  <c r="F72" i="9"/>
  <c r="F73" i="8"/>
  <c r="J73" i="8"/>
  <c r="E73" i="8"/>
  <c r="G73" i="8"/>
  <c r="H73" i="8"/>
  <c r="I73" i="8"/>
  <c r="K73" i="8"/>
  <c r="H73" i="9"/>
  <c r="AA73" i="9"/>
  <c r="B73" i="9"/>
  <c r="C73" i="9"/>
  <c r="F73" i="9"/>
  <c r="F74" i="8"/>
  <c r="J74" i="8"/>
  <c r="E74" i="8"/>
  <c r="G74" i="8"/>
  <c r="H74" i="8"/>
  <c r="I74" i="8"/>
  <c r="K74" i="8"/>
  <c r="H74" i="9"/>
  <c r="AA74" i="9"/>
  <c r="B74" i="9"/>
  <c r="C74" i="9"/>
  <c r="F74" i="9"/>
  <c r="F75" i="8"/>
  <c r="J75" i="8"/>
  <c r="E75" i="8"/>
  <c r="G75" i="8"/>
  <c r="H75" i="8"/>
  <c r="I75" i="8"/>
  <c r="K75" i="8"/>
  <c r="H75" i="9"/>
  <c r="AA75" i="9"/>
  <c r="B75" i="9"/>
  <c r="C75" i="9"/>
  <c r="F75" i="9"/>
  <c r="F76" i="8"/>
  <c r="J76" i="8"/>
  <c r="E76" i="8"/>
  <c r="G76" i="8"/>
  <c r="H76" i="8"/>
  <c r="I76" i="8"/>
  <c r="K76" i="8"/>
  <c r="H76" i="9"/>
  <c r="AA76" i="9"/>
  <c r="B76" i="9"/>
  <c r="C76" i="9"/>
  <c r="F76" i="9"/>
  <c r="F77" i="8"/>
  <c r="J77" i="8"/>
  <c r="E77" i="8"/>
  <c r="G77" i="8"/>
  <c r="H77" i="8"/>
  <c r="I77" i="8"/>
  <c r="K77" i="8"/>
  <c r="H77" i="9"/>
  <c r="AA77" i="9"/>
  <c r="B77" i="9"/>
  <c r="C77" i="9"/>
  <c r="F77" i="9"/>
  <c r="F78" i="8"/>
  <c r="J78" i="8"/>
  <c r="E78" i="8"/>
  <c r="G78" i="8"/>
  <c r="H78" i="8"/>
  <c r="I78" i="8"/>
  <c r="K78" i="8"/>
  <c r="H78" i="9"/>
  <c r="AA78" i="9"/>
  <c r="B78" i="9"/>
  <c r="C78" i="9"/>
  <c r="F78" i="9"/>
  <c r="F79" i="8"/>
  <c r="J79" i="8"/>
  <c r="E79" i="8"/>
  <c r="G79" i="8"/>
  <c r="H79" i="8"/>
  <c r="I79" i="8"/>
  <c r="K79" i="8"/>
  <c r="H79" i="9"/>
  <c r="AA79" i="9"/>
  <c r="B79" i="9"/>
  <c r="C79" i="9"/>
  <c r="F79" i="9"/>
  <c r="F80" i="8"/>
  <c r="J80" i="8"/>
  <c r="E80" i="8"/>
  <c r="G80" i="8"/>
  <c r="H80" i="8"/>
  <c r="I80" i="8"/>
  <c r="K80" i="8"/>
  <c r="H80" i="9"/>
  <c r="AA80" i="9"/>
  <c r="B80" i="9"/>
  <c r="C80" i="9"/>
  <c r="F80" i="9"/>
  <c r="F81" i="8"/>
  <c r="J81" i="8"/>
  <c r="E81" i="8"/>
  <c r="G81" i="8"/>
  <c r="H81" i="8"/>
  <c r="I81" i="8"/>
  <c r="K81" i="8"/>
  <c r="H81" i="9"/>
  <c r="AA81" i="9"/>
  <c r="B81" i="9"/>
  <c r="C81" i="9"/>
  <c r="F81" i="9"/>
  <c r="B82" i="9"/>
  <c r="C82" i="9"/>
  <c r="F82" i="9"/>
  <c r="F83" i="8"/>
  <c r="J83" i="8"/>
  <c r="E83" i="8"/>
  <c r="G83" i="8"/>
  <c r="H83" i="8"/>
  <c r="I83" i="8"/>
  <c r="K83" i="8"/>
  <c r="H83" i="9"/>
  <c r="AA83" i="9"/>
  <c r="B83" i="9"/>
  <c r="C83" i="9"/>
  <c r="F83" i="9"/>
  <c r="F84" i="8"/>
  <c r="J84" i="8"/>
  <c r="E84" i="8"/>
  <c r="G84" i="8"/>
  <c r="H84" i="8"/>
  <c r="I84" i="8"/>
  <c r="K84" i="8"/>
  <c r="H84" i="9"/>
  <c r="AA84" i="9"/>
  <c r="B84" i="9"/>
  <c r="C84" i="9"/>
  <c r="F84" i="9"/>
  <c r="F85" i="8"/>
  <c r="J85" i="8"/>
  <c r="E85" i="8"/>
  <c r="G85" i="8"/>
  <c r="H85" i="8"/>
  <c r="I85" i="8"/>
  <c r="K85" i="8"/>
  <c r="H85" i="9"/>
  <c r="AA85" i="9"/>
  <c r="B85" i="9"/>
  <c r="C85" i="9"/>
  <c r="F85" i="9"/>
  <c r="F86" i="8"/>
  <c r="J86" i="8"/>
  <c r="E86" i="8"/>
  <c r="G86" i="8"/>
  <c r="H86" i="8"/>
  <c r="I86" i="8"/>
  <c r="K86" i="8"/>
  <c r="H86" i="9"/>
  <c r="AA86" i="9"/>
  <c r="B86" i="9"/>
  <c r="C86" i="9"/>
  <c r="F86" i="9"/>
  <c r="F87" i="8"/>
  <c r="J87" i="8"/>
  <c r="E87" i="8"/>
  <c r="G87" i="8"/>
  <c r="H87" i="8"/>
  <c r="I87" i="8"/>
  <c r="K87" i="8"/>
  <c r="H87" i="9"/>
  <c r="AA87" i="9"/>
  <c r="B87" i="9"/>
  <c r="C87" i="9"/>
  <c r="F87" i="9"/>
  <c r="F88" i="8"/>
  <c r="J88" i="8"/>
  <c r="E88" i="8"/>
  <c r="G88" i="8"/>
  <c r="H88" i="8"/>
  <c r="I88" i="8"/>
  <c r="K88" i="8"/>
  <c r="H88" i="9"/>
  <c r="AA88" i="9"/>
  <c r="B88" i="9"/>
  <c r="C88" i="9"/>
  <c r="F88" i="9"/>
  <c r="F89" i="8"/>
  <c r="J89" i="8"/>
  <c r="E89" i="8"/>
  <c r="G89" i="8"/>
  <c r="H89" i="8"/>
  <c r="I89" i="8"/>
  <c r="K89" i="8"/>
  <c r="H89" i="9"/>
  <c r="AA89" i="9"/>
  <c r="B89" i="9"/>
  <c r="C89" i="9"/>
  <c r="F89" i="9"/>
  <c r="F90" i="8"/>
  <c r="J90" i="8"/>
  <c r="E90" i="8"/>
  <c r="G90" i="8"/>
  <c r="H90" i="8"/>
  <c r="I90" i="8"/>
  <c r="K90" i="8"/>
  <c r="H90" i="9"/>
  <c r="AA90" i="9"/>
  <c r="B90" i="9"/>
  <c r="C90" i="9"/>
  <c r="F90" i="9"/>
  <c r="F91" i="8"/>
  <c r="J91" i="8"/>
  <c r="E91" i="8"/>
  <c r="G91" i="8"/>
  <c r="H91" i="8"/>
  <c r="I91" i="8"/>
  <c r="K91" i="8"/>
  <c r="H91" i="9"/>
  <c r="AA91" i="9"/>
  <c r="B91" i="9"/>
  <c r="C91" i="9"/>
  <c r="F91" i="9"/>
  <c r="F92" i="8"/>
  <c r="J92" i="8"/>
  <c r="E92" i="8"/>
  <c r="G92" i="8"/>
  <c r="H92" i="8"/>
  <c r="I92" i="8"/>
  <c r="K92" i="8"/>
  <c r="H92" i="9"/>
  <c r="AA92" i="9"/>
  <c r="B92" i="9"/>
  <c r="C92" i="9"/>
  <c r="F92" i="9"/>
  <c r="B93" i="9"/>
  <c r="C93" i="9"/>
  <c r="F93" i="9"/>
  <c r="F94" i="8"/>
  <c r="J94" i="8"/>
  <c r="E94" i="8"/>
  <c r="G94" i="8"/>
  <c r="H94" i="8"/>
  <c r="I94" i="8"/>
  <c r="K94" i="8"/>
  <c r="H94" i="9"/>
  <c r="AA94" i="9"/>
  <c r="B94" i="9"/>
  <c r="C94" i="9"/>
  <c r="F94" i="9"/>
  <c r="F95" i="8"/>
  <c r="J95" i="8"/>
  <c r="E95" i="8"/>
  <c r="G95" i="8"/>
  <c r="H95" i="8"/>
  <c r="I95" i="8"/>
  <c r="K95" i="8"/>
  <c r="H95" i="9"/>
  <c r="AA95" i="9"/>
  <c r="B95" i="9"/>
  <c r="C95" i="9"/>
  <c r="F95" i="9"/>
  <c r="F96" i="8"/>
  <c r="J96" i="8"/>
  <c r="E96" i="8"/>
  <c r="G96" i="8"/>
  <c r="H96" i="8"/>
  <c r="I96" i="8"/>
  <c r="K96" i="8"/>
  <c r="H96" i="9"/>
  <c r="AA96" i="9"/>
  <c r="B96" i="9"/>
  <c r="C96" i="9"/>
  <c r="F96" i="9"/>
  <c r="F97" i="8"/>
  <c r="J97" i="8"/>
  <c r="E97" i="8"/>
  <c r="G97" i="8"/>
  <c r="H97" i="8"/>
  <c r="I97" i="8"/>
  <c r="K97" i="8"/>
  <c r="H97" i="9"/>
  <c r="AA97" i="9"/>
  <c r="B97" i="9"/>
  <c r="C97" i="9"/>
  <c r="F97" i="9"/>
  <c r="B98" i="9"/>
  <c r="C98" i="9"/>
  <c r="F98" i="9"/>
  <c r="F99" i="8"/>
  <c r="J99" i="8"/>
  <c r="E99" i="8"/>
  <c r="G99" i="8"/>
  <c r="H99" i="8"/>
  <c r="I99" i="8"/>
  <c r="K99" i="8"/>
  <c r="H99" i="9"/>
  <c r="AA99" i="9"/>
  <c r="B99" i="9"/>
  <c r="C99" i="9"/>
  <c r="F99" i="9"/>
  <c r="F100" i="8"/>
  <c r="J100" i="8"/>
  <c r="E100" i="8"/>
  <c r="G100" i="8"/>
  <c r="H100" i="8"/>
  <c r="I100" i="8"/>
  <c r="K100" i="8"/>
  <c r="H100" i="9"/>
  <c r="AA100" i="9"/>
  <c r="B100" i="9"/>
  <c r="C100" i="9"/>
  <c r="F100" i="9"/>
  <c r="F101" i="8"/>
  <c r="J101" i="8"/>
  <c r="E101" i="8"/>
  <c r="G101" i="8"/>
  <c r="H101" i="8"/>
  <c r="I101" i="8"/>
  <c r="K101" i="8"/>
  <c r="H101" i="9"/>
  <c r="AA101" i="9"/>
  <c r="B101" i="9"/>
  <c r="C101" i="9"/>
  <c r="F101" i="9"/>
  <c r="F102" i="8"/>
  <c r="J102" i="8"/>
  <c r="E102" i="8"/>
  <c r="G102" i="8"/>
  <c r="H102" i="8"/>
  <c r="I102" i="8"/>
  <c r="K102" i="8"/>
  <c r="H102" i="9"/>
  <c r="AA102" i="9"/>
  <c r="B102" i="9"/>
  <c r="C102" i="9"/>
  <c r="F102" i="9"/>
  <c r="F103" i="8"/>
  <c r="J103" i="8"/>
  <c r="E103" i="8"/>
  <c r="G103" i="8"/>
  <c r="H103" i="8"/>
  <c r="I103" i="8"/>
  <c r="K103" i="8"/>
  <c r="H103" i="9"/>
  <c r="AA103" i="9"/>
  <c r="B103" i="9"/>
  <c r="C103" i="9"/>
  <c r="F103" i="9"/>
  <c r="B9" i="12"/>
  <c r="F61" i="12"/>
  <c r="J61" i="12"/>
  <c r="E61" i="12"/>
  <c r="G61" i="12"/>
  <c r="H61" i="12"/>
  <c r="I61" i="12"/>
  <c r="K61" i="12"/>
  <c r="H61" i="13"/>
  <c r="AA61" i="13"/>
  <c r="F82" i="12"/>
  <c r="J82" i="12"/>
  <c r="E82" i="12"/>
  <c r="G82" i="12"/>
  <c r="H82" i="12"/>
  <c r="I82" i="12"/>
  <c r="K82" i="12"/>
  <c r="H82" i="13"/>
  <c r="AA82" i="13"/>
  <c r="F93" i="12"/>
  <c r="J93" i="12"/>
  <c r="E93" i="12"/>
  <c r="G93" i="12"/>
  <c r="H93" i="12"/>
  <c r="I93" i="12"/>
  <c r="K93" i="12"/>
  <c r="H93" i="13"/>
  <c r="AA93" i="13"/>
  <c r="F98" i="12"/>
  <c r="J98" i="12"/>
  <c r="E98" i="12"/>
  <c r="G98" i="12"/>
  <c r="H98" i="12"/>
  <c r="I98" i="12"/>
  <c r="K98" i="12"/>
  <c r="H98" i="13"/>
  <c r="AA98" i="13"/>
  <c r="F19" i="12"/>
  <c r="J19" i="12"/>
  <c r="K19" i="12"/>
  <c r="H19" i="13"/>
  <c r="AA19" i="13"/>
  <c r="B9" i="13"/>
  <c r="L17" i="13"/>
  <c r="E19" i="12"/>
  <c r="B19" i="13"/>
  <c r="C19" i="13"/>
  <c r="F19" i="13"/>
  <c r="F20" i="12"/>
  <c r="J20" i="12"/>
  <c r="K20" i="12"/>
  <c r="H20" i="13"/>
  <c r="AA20" i="13"/>
  <c r="E20" i="12"/>
  <c r="B20" i="13"/>
  <c r="C20" i="13"/>
  <c r="F20" i="13"/>
  <c r="F21" i="12"/>
  <c r="J21" i="12"/>
  <c r="K21" i="12"/>
  <c r="H21" i="13"/>
  <c r="AA21" i="13"/>
  <c r="E21" i="12"/>
  <c r="B21" i="13"/>
  <c r="C21" i="13"/>
  <c r="F21" i="13"/>
  <c r="F22" i="12"/>
  <c r="J22" i="12"/>
  <c r="K22" i="12"/>
  <c r="H22" i="13"/>
  <c r="AA22" i="13"/>
  <c r="E22" i="12"/>
  <c r="B22" i="13"/>
  <c r="C22" i="13"/>
  <c r="F22" i="13"/>
  <c r="F23" i="12"/>
  <c r="J23" i="12"/>
  <c r="K23" i="12"/>
  <c r="H23" i="13"/>
  <c r="AA23" i="13"/>
  <c r="E23" i="12"/>
  <c r="B23" i="13"/>
  <c r="C23" i="13"/>
  <c r="F23" i="13"/>
  <c r="F24" i="12"/>
  <c r="J24" i="12"/>
  <c r="K24" i="12"/>
  <c r="H24" i="13"/>
  <c r="AA24" i="13"/>
  <c r="E24" i="12"/>
  <c r="B24" i="13"/>
  <c r="C24" i="13"/>
  <c r="F24" i="13"/>
  <c r="F25" i="12"/>
  <c r="J25" i="12"/>
  <c r="K25" i="12"/>
  <c r="H25" i="13"/>
  <c r="AA25" i="13"/>
  <c r="E25" i="12"/>
  <c r="B25" i="13"/>
  <c r="C25" i="13"/>
  <c r="F25" i="13"/>
  <c r="F26" i="12"/>
  <c r="J26" i="12"/>
  <c r="K26" i="12"/>
  <c r="H26" i="13"/>
  <c r="AA26" i="13"/>
  <c r="E26" i="12"/>
  <c r="B26" i="13"/>
  <c r="C26" i="13"/>
  <c r="F26" i="13"/>
  <c r="F27" i="12"/>
  <c r="J27" i="12"/>
  <c r="K27" i="12"/>
  <c r="H27" i="13"/>
  <c r="AA27" i="13"/>
  <c r="E27" i="12"/>
  <c r="B27" i="13"/>
  <c r="C27" i="13"/>
  <c r="F27" i="13"/>
  <c r="F28" i="12"/>
  <c r="J28" i="12"/>
  <c r="K28" i="12"/>
  <c r="H28" i="13"/>
  <c r="AA28" i="13"/>
  <c r="E28" i="12"/>
  <c r="B28" i="13"/>
  <c r="C28" i="13"/>
  <c r="F28" i="13"/>
  <c r="F29" i="12"/>
  <c r="J29" i="12"/>
  <c r="K29" i="12"/>
  <c r="H29" i="13"/>
  <c r="AA29" i="13"/>
  <c r="E29" i="12"/>
  <c r="B29" i="13"/>
  <c r="C29" i="13"/>
  <c r="F29" i="13"/>
  <c r="F30" i="12"/>
  <c r="J30" i="12"/>
  <c r="K30" i="12"/>
  <c r="H30" i="13"/>
  <c r="AA30" i="13"/>
  <c r="E30" i="12"/>
  <c r="B30" i="13"/>
  <c r="C30" i="13"/>
  <c r="F30" i="13"/>
  <c r="F31" i="12"/>
  <c r="J31" i="12"/>
  <c r="K31" i="12"/>
  <c r="H31" i="13"/>
  <c r="AA31" i="13"/>
  <c r="E31" i="12"/>
  <c r="B31" i="13"/>
  <c r="C31" i="13"/>
  <c r="F31" i="13"/>
  <c r="F32" i="12"/>
  <c r="J32" i="12"/>
  <c r="K32" i="12"/>
  <c r="H32" i="13"/>
  <c r="AA32" i="13"/>
  <c r="E32" i="12"/>
  <c r="B32" i="13"/>
  <c r="C32" i="13"/>
  <c r="F32" i="13"/>
  <c r="F33" i="12"/>
  <c r="J33" i="12"/>
  <c r="K33" i="12"/>
  <c r="H33" i="13"/>
  <c r="AA33" i="13"/>
  <c r="E33" i="12"/>
  <c r="B33" i="13"/>
  <c r="C33" i="13"/>
  <c r="F33" i="13"/>
  <c r="F34" i="12"/>
  <c r="J34" i="12"/>
  <c r="K34" i="12"/>
  <c r="H34" i="13"/>
  <c r="AA34" i="13"/>
  <c r="E34" i="12"/>
  <c r="B34" i="13"/>
  <c r="C34" i="13"/>
  <c r="F34" i="13"/>
  <c r="F35" i="12"/>
  <c r="J35" i="12"/>
  <c r="K35" i="12"/>
  <c r="H35" i="13"/>
  <c r="AA35" i="13"/>
  <c r="E35" i="12"/>
  <c r="B35" i="13"/>
  <c r="C35" i="13"/>
  <c r="F35" i="13"/>
  <c r="F36" i="12"/>
  <c r="J36" i="12"/>
  <c r="K36" i="12"/>
  <c r="H36" i="13"/>
  <c r="AA36" i="13"/>
  <c r="E36" i="12"/>
  <c r="B36" i="13"/>
  <c r="C36" i="13"/>
  <c r="F36" i="13"/>
  <c r="F37" i="12"/>
  <c r="J37" i="12"/>
  <c r="K37" i="12"/>
  <c r="H37" i="13"/>
  <c r="AA37" i="13"/>
  <c r="E37" i="12"/>
  <c r="B37" i="13"/>
  <c r="C37" i="13"/>
  <c r="F37" i="13"/>
  <c r="F38" i="12"/>
  <c r="J38" i="12"/>
  <c r="K38" i="12"/>
  <c r="H38" i="13"/>
  <c r="AA38" i="13"/>
  <c r="E38" i="12"/>
  <c r="B38" i="13"/>
  <c r="C38" i="13"/>
  <c r="F38" i="13"/>
  <c r="F39" i="12"/>
  <c r="J39" i="12"/>
  <c r="K39" i="12"/>
  <c r="H39" i="13"/>
  <c r="AA39" i="13"/>
  <c r="E39" i="12"/>
  <c r="B39" i="13"/>
  <c r="C39" i="13"/>
  <c r="F39" i="13"/>
  <c r="F40" i="12"/>
  <c r="J40" i="12"/>
  <c r="K40" i="12"/>
  <c r="H40" i="13"/>
  <c r="AA40" i="13"/>
  <c r="E40" i="12"/>
  <c r="B40" i="13"/>
  <c r="C40" i="13"/>
  <c r="F40" i="13"/>
  <c r="F41" i="12"/>
  <c r="J41" i="12"/>
  <c r="E41" i="12"/>
  <c r="G41" i="12"/>
  <c r="H41" i="12"/>
  <c r="I41" i="12"/>
  <c r="K41" i="12"/>
  <c r="H41" i="13"/>
  <c r="AA41" i="13"/>
  <c r="B41" i="13"/>
  <c r="C41" i="13"/>
  <c r="F41" i="13"/>
  <c r="F42" i="12"/>
  <c r="J42" i="12"/>
  <c r="E42" i="12"/>
  <c r="G42" i="12"/>
  <c r="H42" i="12"/>
  <c r="I42" i="12"/>
  <c r="K42" i="12"/>
  <c r="H42" i="13"/>
  <c r="AA42" i="13"/>
  <c r="B42" i="13"/>
  <c r="C42" i="13"/>
  <c r="F42" i="13"/>
  <c r="F43" i="12"/>
  <c r="J43" i="12"/>
  <c r="E43" i="12"/>
  <c r="G43" i="12"/>
  <c r="H43" i="12"/>
  <c r="I43" i="12"/>
  <c r="K43" i="12"/>
  <c r="H43" i="13"/>
  <c r="AA43" i="13"/>
  <c r="B43" i="13"/>
  <c r="C43" i="13"/>
  <c r="F43" i="13"/>
  <c r="F44" i="12"/>
  <c r="J44" i="12"/>
  <c r="E44" i="12"/>
  <c r="G44" i="12"/>
  <c r="H44" i="12"/>
  <c r="I44" i="12"/>
  <c r="K44" i="12"/>
  <c r="H44" i="13"/>
  <c r="AA44" i="13"/>
  <c r="B44" i="13"/>
  <c r="C44" i="13"/>
  <c r="F44" i="13"/>
  <c r="F45" i="12"/>
  <c r="J45" i="12"/>
  <c r="E45" i="12"/>
  <c r="G45" i="12"/>
  <c r="H45" i="12"/>
  <c r="I45" i="12"/>
  <c r="K45" i="12"/>
  <c r="H45" i="13"/>
  <c r="AA45" i="13"/>
  <c r="B45" i="13"/>
  <c r="C45" i="13"/>
  <c r="F45" i="13"/>
  <c r="F46" i="12"/>
  <c r="J46" i="12"/>
  <c r="E46" i="12"/>
  <c r="G46" i="12"/>
  <c r="H46" i="12"/>
  <c r="I46" i="12"/>
  <c r="K46" i="12"/>
  <c r="H46" i="13"/>
  <c r="AA46" i="13"/>
  <c r="B46" i="13"/>
  <c r="C46" i="13"/>
  <c r="F46" i="13"/>
  <c r="F47" i="12"/>
  <c r="J47" i="12"/>
  <c r="E47" i="12"/>
  <c r="G47" i="12"/>
  <c r="H47" i="12"/>
  <c r="I47" i="12"/>
  <c r="K47" i="12"/>
  <c r="H47" i="13"/>
  <c r="AA47" i="13"/>
  <c r="B47" i="13"/>
  <c r="C47" i="13"/>
  <c r="F47" i="13"/>
  <c r="F48" i="12"/>
  <c r="J48" i="12"/>
  <c r="E48" i="12"/>
  <c r="G48" i="12"/>
  <c r="H48" i="12"/>
  <c r="I48" i="12"/>
  <c r="K48" i="12"/>
  <c r="H48" i="13"/>
  <c r="AA48" i="13"/>
  <c r="B48" i="13"/>
  <c r="C48" i="13"/>
  <c r="F48" i="13"/>
  <c r="F49" i="12"/>
  <c r="J49" i="12"/>
  <c r="E49" i="12"/>
  <c r="G49" i="12"/>
  <c r="H49" i="12"/>
  <c r="I49" i="12"/>
  <c r="K49" i="12"/>
  <c r="H49" i="13"/>
  <c r="AA49" i="13"/>
  <c r="B49" i="13"/>
  <c r="C49" i="13"/>
  <c r="F49" i="13"/>
  <c r="F50" i="12"/>
  <c r="J50" i="12"/>
  <c r="E50" i="12"/>
  <c r="G50" i="12"/>
  <c r="H50" i="12"/>
  <c r="I50" i="12"/>
  <c r="K50" i="12"/>
  <c r="H50" i="13"/>
  <c r="AA50" i="13"/>
  <c r="B50" i="13"/>
  <c r="C50" i="13"/>
  <c r="F50" i="13"/>
  <c r="F51" i="12"/>
  <c r="J51" i="12"/>
  <c r="E51" i="12"/>
  <c r="G51" i="12"/>
  <c r="H51" i="12"/>
  <c r="I51" i="12"/>
  <c r="K51" i="12"/>
  <c r="H51" i="13"/>
  <c r="AA51" i="13"/>
  <c r="B51" i="13"/>
  <c r="C51" i="13"/>
  <c r="F51" i="13"/>
  <c r="F52" i="12"/>
  <c r="J52" i="12"/>
  <c r="E52" i="12"/>
  <c r="G52" i="12"/>
  <c r="H52" i="12"/>
  <c r="I52" i="12"/>
  <c r="K52" i="12"/>
  <c r="H52" i="13"/>
  <c r="AA52" i="13"/>
  <c r="B52" i="13"/>
  <c r="C52" i="13"/>
  <c r="F52" i="13"/>
  <c r="F53" i="12"/>
  <c r="J53" i="12"/>
  <c r="E53" i="12"/>
  <c r="G53" i="12"/>
  <c r="H53" i="12"/>
  <c r="I53" i="12"/>
  <c r="K53" i="12"/>
  <c r="H53" i="13"/>
  <c r="AA53" i="13"/>
  <c r="B53" i="13"/>
  <c r="C53" i="13"/>
  <c r="F53" i="13"/>
  <c r="F54" i="12"/>
  <c r="J54" i="12"/>
  <c r="E54" i="12"/>
  <c r="G54" i="12"/>
  <c r="H54" i="12"/>
  <c r="I54" i="12"/>
  <c r="K54" i="12"/>
  <c r="H54" i="13"/>
  <c r="AA54" i="13"/>
  <c r="B54" i="13"/>
  <c r="C54" i="13"/>
  <c r="F54" i="13"/>
  <c r="F55" i="12"/>
  <c r="J55" i="12"/>
  <c r="E55" i="12"/>
  <c r="G55" i="12"/>
  <c r="H55" i="12"/>
  <c r="I55" i="12"/>
  <c r="K55" i="12"/>
  <c r="H55" i="13"/>
  <c r="AA55" i="13"/>
  <c r="B55" i="13"/>
  <c r="C55" i="13"/>
  <c r="F55" i="13"/>
  <c r="F56" i="12"/>
  <c r="J56" i="12"/>
  <c r="E56" i="12"/>
  <c r="G56" i="12"/>
  <c r="H56" i="12"/>
  <c r="I56" i="12"/>
  <c r="K56" i="12"/>
  <c r="H56" i="13"/>
  <c r="AA56" i="13"/>
  <c r="B56" i="13"/>
  <c r="C56" i="13"/>
  <c r="F56" i="13"/>
  <c r="F57" i="12"/>
  <c r="J57" i="12"/>
  <c r="E57" i="12"/>
  <c r="G57" i="12"/>
  <c r="H57" i="12"/>
  <c r="I57" i="12"/>
  <c r="K57" i="12"/>
  <c r="H57" i="13"/>
  <c r="AA57" i="13"/>
  <c r="B57" i="13"/>
  <c r="C57" i="13"/>
  <c r="F57" i="13"/>
  <c r="F58" i="12"/>
  <c r="J58" i="12"/>
  <c r="E58" i="12"/>
  <c r="G58" i="12"/>
  <c r="H58" i="12"/>
  <c r="I58" i="12"/>
  <c r="K58" i="12"/>
  <c r="H58" i="13"/>
  <c r="AA58" i="13"/>
  <c r="B58" i="13"/>
  <c r="C58" i="13"/>
  <c r="F58" i="13"/>
  <c r="F59" i="12"/>
  <c r="J59" i="12"/>
  <c r="E59" i="12"/>
  <c r="G59" i="12"/>
  <c r="H59" i="12"/>
  <c r="I59" i="12"/>
  <c r="K59" i="12"/>
  <c r="H59" i="13"/>
  <c r="AA59" i="13"/>
  <c r="B59" i="13"/>
  <c r="C59" i="13"/>
  <c r="F59" i="13"/>
  <c r="F60" i="12"/>
  <c r="J60" i="12"/>
  <c r="E60" i="12"/>
  <c r="G60" i="12"/>
  <c r="H60" i="12"/>
  <c r="I60" i="12"/>
  <c r="K60" i="12"/>
  <c r="H60" i="13"/>
  <c r="AA60" i="13"/>
  <c r="B60" i="13"/>
  <c r="C60" i="13"/>
  <c r="F60" i="13"/>
  <c r="B61" i="13"/>
  <c r="C61" i="13"/>
  <c r="F61" i="13"/>
  <c r="F62" i="12"/>
  <c r="J62" i="12"/>
  <c r="E62" i="12"/>
  <c r="G62" i="12"/>
  <c r="H62" i="12"/>
  <c r="I62" i="12"/>
  <c r="K62" i="12"/>
  <c r="H62" i="13"/>
  <c r="AA62" i="13"/>
  <c r="B62" i="13"/>
  <c r="C62" i="13"/>
  <c r="F62" i="13"/>
  <c r="F63" i="12"/>
  <c r="J63" i="12"/>
  <c r="E63" i="12"/>
  <c r="G63" i="12"/>
  <c r="H63" i="12"/>
  <c r="I63" i="12"/>
  <c r="K63" i="12"/>
  <c r="H63" i="13"/>
  <c r="AA63" i="13"/>
  <c r="B63" i="13"/>
  <c r="C63" i="13"/>
  <c r="F63" i="13"/>
  <c r="F64" i="12"/>
  <c r="J64" i="12"/>
  <c r="E64" i="12"/>
  <c r="G64" i="12"/>
  <c r="H64" i="12"/>
  <c r="I64" i="12"/>
  <c r="K64" i="12"/>
  <c r="H64" i="13"/>
  <c r="AA64" i="13"/>
  <c r="B64" i="13"/>
  <c r="C64" i="13"/>
  <c r="F64" i="13"/>
  <c r="F65" i="12"/>
  <c r="J65" i="12"/>
  <c r="E65" i="12"/>
  <c r="G65" i="12"/>
  <c r="H65" i="12"/>
  <c r="I65" i="12"/>
  <c r="K65" i="12"/>
  <c r="H65" i="13"/>
  <c r="AA65" i="13"/>
  <c r="B65" i="13"/>
  <c r="C65" i="13"/>
  <c r="F65" i="13"/>
  <c r="F66" i="12"/>
  <c r="J66" i="12"/>
  <c r="E66" i="12"/>
  <c r="G66" i="12"/>
  <c r="H66" i="12"/>
  <c r="I66" i="12"/>
  <c r="K66" i="12"/>
  <c r="H66" i="13"/>
  <c r="AA66" i="13"/>
  <c r="B66" i="13"/>
  <c r="C66" i="13"/>
  <c r="F66" i="13"/>
  <c r="F67" i="12"/>
  <c r="J67" i="12"/>
  <c r="E67" i="12"/>
  <c r="G67" i="12"/>
  <c r="H67" i="12"/>
  <c r="I67" i="12"/>
  <c r="K67" i="12"/>
  <c r="H67" i="13"/>
  <c r="AA67" i="13"/>
  <c r="B67" i="13"/>
  <c r="C67" i="13"/>
  <c r="F67" i="13"/>
  <c r="F68" i="12"/>
  <c r="J68" i="12"/>
  <c r="E68" i="12"/>
  <c r="G68" i="12"/>
  <c r="H68" i="12"/>
  <c r="I68" i="12"/>
  <c r="K68" i="12"/>
  <c r="H68" i="13"/>
  <c r="AA68" i="13"/>
  <c r="B68" i="13"/>
  <c r="C68" i="13"/>
  <c r="F68" i="13"/>
  <c r="F69" i="12"/>
  <c r="J69" i="12"/>
  <c r="E69" i="12"/>
  <c r="G69" i="12"/>
  <c r="H69" i="12"/>
  <c r="I69" i="12"/>
  <c r="K69" i="12"/>
  <c r="H69" i="13"/>
  <c r="AA69" i="13"/>
  <c r="B69" i="13"/>
  <c r="C69" i="13"/>
  <c r="F69" i="13"/>
  <c r="F70" i="12"/>
  <c r="J70" i="12"/>
  <c r="E70" i="12"/>
  <c r="G70" i="12"/>
  <c r="H70" i="12"/>
  <c r="I70" i="12"/>
  <c r="K70" i="12"/>
  <c r="H70" i="13"/>
  <c r="AA70" i="13"/>
  <c r="B70" i="13"/>
  <c r="C70" i="13"/>
  <c r="F70" i="13"/>
  <c r="F71" i="12"/>
  <c r="J71" i="12"/>
  <c r="E71" i="12"/>
  <c r="G71" i="12"/>
  <c r="H71" i="12"/>
  <c r="I71" i="12"/>
  <c r="K71" i="12"/>
  <c r="H71" i="13"/>
  <c r="AA71" i="13"/>
  <c r="B71" i="13"/>
  <c r="C71" i="13"/>
  <c r="F71" i="13"/>
  <c r="F72" i="12"/>
  <c r="J72" i="12"/>
  <c r="E72" i="12"/>
  <c r="G72" i="12"/>
  <c r="H72" i="12"/>
  <c r="I72" i="12"/>
  <c r="K72" i="12"/>
  <c r="H72" i="13"/>
  <c r="AA72" i="13"/>
  <c r="B72" i="13"/>
  <c r="C72" i="13"/>
  <c r="F72" i="13"/>
  <c r="F73" i="12"/>
  <c r="J73" i="12"/>
  <c r="E73" i="12"/>
  <c r="G73" i="12"/>
  <c r="H73" i="12"/>
  <c r="I73" i="12"/>
  <c r="K73" i="12"/>
  <c r="H73" i="13"/>
  <c r="AA73" i="13"/>
  <c r="B73" i="13"/>
  <c r="C73" i="13"/>
  <c r="F73" i="13"/>
  <c r="F74" i="12"/>
  <c r="J74" i="12"/>
  <c r="E74" i="12"/>
  <c r="G74" i="12"/>
  <c r="H74" i="12"/>
  <c r="I74" i="12"/>
  <c r="K74" i="12"/>
  <c r="H74" i="13"/>
  <c r="AA74" i="13"/>
  <c r="B74" i="13"/>
  <c r="C74" i="13"/>
  <c r="F74" i="13"/>
  <c r="F75" i="12"/>
  <c r="J75" i="12"/>
  <c r="E75" i="12"/>
  <c r="G75" i="12"/>
  <c r="H75" i="12"/>
  <c r="I75" i="12"/>
  <c r="K75" i="12"/>
  <c r="H75" i="13"/>
  <c r="AA75" i="13"/>
  <c r="B75" i="13"/>
  <c r="C75" i="13"/>
  <c r="F75" i="13"/>
  <c r="F76" i="12"/>
  <c r="J76" i="12"/>
  <c r="E76" i="12"/>
  <c r="G76" i="12"/>
  <c r="H76" i="12"/>
  <c r="I76" i="12"/>
  <c r="K76" i="12"/>
  <c r="H76" i="13"/>
  <c r="AA76" i="13"/>
  <c r="B76" i="13"/>
  <c r="C76" i="13"/>
  <c r="F76" i="13"/>
  <c r="F77" i="12"/>
  <c r="J77" i="12"/>
  <c r="E77" i="12"/>
  <c r="G77" i="12"/>
  <c r="H77" i="12"/>
  <c r="I77" i="12"/>
  <c r="K77" i="12"/>
  <c r="H77" i="13"/>
  <c r="AA77" i="13"/>
  <c r="B77" i="13"/>
  <c r="C77" i="13"/>
  <c r="F77" i="13"/>
  <c r="F78" i="12"/>
  <c r="J78" i="12"/>
  <c r="E78" i="12"/>
  <c r="G78" i="12"/>
  <c r="H78" i="12"/>
  <c r="I78" i="12"/>
  <c r="K78" i="12"/>
  <c r="H78" i="13"/>
  <c r="AA78" i="13"/>
  <c r="B78" i="13"/>
  <c r="C78" i="13"/>
  <c r="F78" i="13"/>
  <c r="F79" i="12"/>
  <c r="J79" i="12"/>
  <c r="E79" i="12"/>
  <c r="G79" i="12"/>
  <c r="H79" i="12"/>
  <c r="I79" i="12"/>
  <c r="K79" i="12"/>
  <c r="H79" i="13"/>
  <c r="AA79" i="13"/>
  <c r="B79" i="13"/>
  <c r="C79" i="13"/>
  <c r="F79" i="13"/>
  <c r="F80" i="12"/>
  <c r="J80" i="12"/>
  <c r="E80" i="12"/>
  <c r="G80" i="12"/>
  <c r="H80" i="12"/>
  <c r="I80" i="12"/>
  <c r="K80" i="12"/>
  <c r="H80" i="13"/>
  <c r="AA80" i="13"/>
  <c r="B80" i="13"/>
  <c r="C80" i="13"/>
  <c r="F80" i="13"/>
  <c r="F81" i="12"/>
  <c r="J81" i="12"/>
  <c r="E81" i="12"/>
  <c r="G81" i="12"/>
  <c r="H81" i="12"/>
  <c r="I81" i="12"/>
  <c r="K81" i="12"/>
  <c r="H81" i="13"/>
  <c r="AA81" i="13"/>
  <c r="B81" i="13"/>
  <c r="C81" i="13"/>
  <c r="F81" i="13"/>
  <c r="B82" i="13"/>
  <c r="C82" i="13"/>
  <c r="F82" i="13"/>
  <c r="F83" i="12"/>
  <c r="J83" i="12"/>
  <c r="E83" i="12"/>
  <c r="G83" i="12"/>
  <c r="H83" i="12"/>
  <c r="I83" i="12"/>
  <c r="K83" i="12"/>
  <c r="H83" i="13"/>
  <c r="AA83" i="13"/>
  <c r="B83" i="13"/>
  <c r="C83" i="13"/>
  <c r="F83" i="13"/>
  <c r="F84" i="12"/>
  <c r="J84" i="12"/>
  <c r="E84" i="12"/>
  <c r="G84" i="12"/>
  <c r="H84" i="12"/>
  <c r="I84" i="12"/>
  <c r="K84" i="12"/>
  <c r="H84" i="13"/>
  <c r="AA84" i="13"/>
  <c r="B84" i="13"/>
  <c r="C84" i="13"/>
  <c r="F84" i="13"/>
  <c r="F85" i="12"/>
  <c r="J85" i="12"/>
  <c r="E85" i="12"/>
  <c r="G85" i="12"/>
  <c r="H85" i="12"/>
  <c r="I85" i="12"/>
  <c r="K85" i="12"/>
  <c r="H85" i="13"/>
  <c r="AA85" i="13"/>
  <c r="B85" i="13"/>
  <c r="C85" i="13"/>
  <c r="F85" i="13"/>
  <c r="F86" i="12"/>
  <c r="J86" i="12"/>
  <c r="E86" i="12"/>
  <c r="G86" i="12"/>
  <c r="H86" i="12"/>
  <c r="I86" i="12"/>
  <c r="K86" i="12"/>
  <c r="H86" i="13"/>
  <c r="AA86" i="13"/>
  <c r="B86" i="13"/>
  <c r="C86" i="13"/>
  <c r="F86" i="13"/>
  <c r="F87" i="12"/>
  <c r="J87" i="12"/>
  <c r="E87" i="12"/>
  <c r="G87" i="12"/>
  <c r="H87" i="12"/>
  <c r="I87" i="12"/>
  <c r="K87" i="12"/>
  <c r="H87" i="13"/>
  <c r="AA87" i="13"/>
  <c r="B87" i="13"/>
  <c r="C87" i="13"/>
  <c r="F87" i="13"/>
  <c r="F88" i="12"/>
  <c r="J88" i="12"/>
  <c r="E88" i="12"/>
  <c r="G88" i="12"/>
  <c r="H88" i="12"/>
  <c r="I88" i="12"/>
  <c r="K88" i="12"/>
  <c r="H88" i="13"/>
  <c r="AA88" i="13"/>
  <c r="B88" i="13"/>
  <c r="C88" i="13"/>
  <c r="F88" i="13"/>
  <c r="F89" i="12"/>
  <c r="J89" i="12"/>
  <c r="E89" i="12"/>
  <c r="G89" i="12"/>
  <c r="H89" i="12"/>
  <c r="I89" i="12"/>
  <c r="K89" i="12"/>
  <c r="H89" i="13"/>
  <c r="AA89" i="13"/>
  <c r="B89" i="13"/>
  <c r="C89" i="13"/>
  <c r="F89" i="13"/>
  <c r="F90" i="12"/>
  <c r="J90" i="12"/>
  <c r="E90" i="12"/>
  <c r="G90" i="12"/>
  <c r="H90" i="12"/>
  <c r="I90" i="12"/>
  <c r="K90" i="12"/>
  <c r="H90" i="13"/>
  <c r="AA90" i="13"/>
  <c r="B90" i="13"/>
  <c r="C90" i="13"/>
  <c r="F90" i="13"/>
  <c r="F91" i="12"/>
  <c r="J91" i="12"/>
  <c r="E91" i="12"/>
  <c r="G91" i="12"/>
  <c r="H91" i="12"/>
  <c r="I91" i="12"/>
  <c r="K91" i="12"/>
  <c r="H91" i="13"/>
  <c r="AA91" i="13"/>
  <c r="B91" i="13"/>
  <c r="C91" i="13"/>
  <c r="F91" i="13"/>
  <c r="F92" i="12"/>
  <c r="J92" i="12"/>
  <c r="E92" i="12"/>
  <c r="G92" i="12"/>
  <c r="H92" i="12"/>
  <c r="I92" i="12"/>
  <c r="K92" i="12"/>
  <c r="H92" i="13"/>
  <c r="AA92" i="13"/>
  <c r="B92" i="13"/>
  <c r="C92" i="13"/>
  <c r="F92" i="13"/>
  <c r="B93" i="13"/>
  <c r="C93" i="13"/>
  <c r="F93" i="13"/>
  <c r="F94" i="12"/>
  <c r="J94" i="12"/>
  <c r="E94" i="12"/>
  <c r="G94" i="12"/>
  <c r="H94" i="12"/>
  <c r="I94" i="12"/>
  <c r="K94" i="12"/>
  <c r="H94" i="13"/>
  <c r="AA94" i="13"/>
  <c r="B94" i="13"/>
  <c r="C94" i="13"/>
  <c r="F94" i="13"/>
  <c r="F95" i="12"/>
  <c r="J95" i="12"/>
  <c r="E95" i="12"/>
  <c r="G95" i="12"/>
  <c r="H95" i="12"/>
  <c r="I95" i="12"/>
  <c r="K95" i="12"/>
  <c r="H95" i="13"/>
  <c r="AA95" i="13"/>
  <c r="B95" i="13"/>
  <c r="C95" i="13"/>
  <c r="F95" i="13"/>
  <c r="F96" i="12"/>
  <c r="J96" i="12"/>
  <c r="E96" i="12"/>
  <c r="G96" i="12"/>
  <c r="H96" i="12"/>
  <c r="I96" i="12"/>
  <c r="K96" i="12"/>
  <c r="H96" i="13"/>
  <c r="AA96" i="13"/>
  <c r="B96" i="13"/>
  <c r="C96" i="13"/>
  <c r="F96" i="13"/>
  <c r="F97" i="12"/>
  <c r="J97" i="12"/>
  <c r="E97" i="12"/>
  <c r="G97" i="12"/>
  <c r="H97" i="12"/>
  <c r="I97" i="12"/>
  <c r="K97" i="12"/>
  <c r="H97" i="13"/>
  <c r="AA97" i="13"/>
  <c r="B97" i="13"/>
  <c r="C97" i="13"/>
  <c r="F97" i="13"/>
  <c r="B98" i="13"/>
  <c r="C98" i="13"/>
  <c r="F98" i="13"/>
  <c r="F99" i="12"/>
  <c r="J99" i="12"/>
  <c r="E99" i="12"/>
  <c r="G99" i="12"/>
  <c r="H99" i="12"/>
  <c r="I99" i="12"/>
  <c r="K99" i="12"/>
  <c r="H99" i="13"/>
  <c r="AA99" i="13"/>
  <c r="B99" i="13"/>
  <c r="C99" i="13"/>
  <c r="F99" i="13"/>
  <c r="F100" i="12"/>
  <c r="J100" i="12"/>
  <c r="E100" i="12"/>
  <c r="G100" i="12"/>
  <c r="H100" i="12"/>
  <c r="I100" i="12"/>
  <c r="K100" i="12"/>
  <c r="H100" i="13"/>
  <c r="AA100" i="13"/>
  <c r="B100" i="13"/>
  <c r="C100" i="13"/>
  <c r="F100" i="13"/>
  <c r="F101" i="12"/>
  <c r="J101" i="12"/>
  <c r="E101" i="12"/>
  <c r="G101" i="12"/>
  <c r="H101" i="12"/>
  <c r="I101" i="12"/>
  <c r="K101" i="12"/>
  <c r="H101" i="13"/>
  <c r="AA101" i="13"/>
  <c r="B101" i="13"/>
  <c r="C101" i="13"/>
  <c r="F101" i="13"/>
  <c r="F102" i="12"/>
  <c r="J102" i="12"/>
  <c r="E102" i="12"/>
  <c r="G102" i="12"/>
  <c r="H102" i="12"/>
  <c r="I102" i="12"/>
  <c r="K102" i="12"/>
  <c r="H102" i="13"/>
  <c r="AA102" i="13"/>
  <c r="B102" i="13"/>
  <c r="C102" i="13"/>
  <c r="F102" i="13"/>
  <c r="F103" i="12"/>
  <c r="J103" i="12"/>
  <c r="E103" i="12"/>
  <c r="G103" i="12"/>
  <c r="H103" i="12"/>
  <c r="I103" i="12"/>
  <c r="K103" i="12"/>
  <c r="H103" i="13"/>
  <c r="AA103" i="13"/>
  <c r="B103" i="13"/>
  <c r="C103" i="13"/>
  <c r="F103" i="13"/>
  <c r="K99" i="14"/>
  <c r="K98" i="14"/>
  <c r="K97" i="14"/>
  <c r="K96" i="14"/>
  <c r="K95" i="14"/>
  <c r="K94" i="14"/>
  <c r="K93" i="14"/>
  <c r="K92" i="14"/>
  <c r="K91" i="14"/>
  <c r="K90" i="14"/>
  <c r="K89" i="14"/>
  <c r="K88" i="14"/>
  <c r="K87" i="14"/>
  <c r="K86" i="14"/>
  <c r="K85" i="14"/>
  <c r="K84" i="14"/>
  <c r="K83" i="14"/>
  <c r="K82" i="14"/>
  <c r="K81" i="14"/>
  <c r="K80" i="14"/>
  <c r="K79" i="14"/>
  <c r="K78" i="14"/>
  <c r="K77" i="14"/>
  <c r="K76" i="14"/>
  <c r="K75" i="14"/>
  <c r="K74" i="14"/>
  <c r="K73" i="14"/>
  <c r="K72" i="14"/>
  <c r="K71" i="14"/>
  <c r="K70" i="14"/>
  <c r="K69" i="14"/>
  <c r="K68" i="14"/>
  <c r="K67" i="14"/>
  <c r="K66" i="14"/>
  <c r="K65" i="14"/>
  <c r="K64" i="14"/>
  <c r="K63" i="14"/>
  <c r="K62" i="14"/>
  <c r="K61" i="14"/>
  <c r="K60" i="14"/>
  <c r="K59" i="14"/>
  <c r="K58" i="14"/>
  <c r="K57" i="14"/>
  <c r="K56" i="14"/>
  <c r="K55" i="14"/>
  <c r="K54" i="14"/>
  <c r="K53" i="14"/>
  <c r="K52" i="14"/>
  <c r="K51" i="14"/>
  <c r="K50" i="14"/>
  <c r="K49" i="14"/>
  <c r="K48" i="14"/>
  <c r="K47" i="14"/>
  <c r="K46" i="14"/>
  <c r="K45" i="14"/>
  <c r="K44" i="14"/>
  <c r="K43" i="14"/>
  <c r="K42" i="14"/>
  <c r="K41" i="14"/>
  <c r="K40" i="14"/>
  <c r="K39" i="14"/>
  <c r="K38" i="14"/>
  <c r="K37" i="14"/>
  <c r="K36" i="14"/>
  <c r="K35" i="14"/>
  <c r="K34" i="14"/>
  <c r="K33" i="14"/>
  <c r="K32" i="14"/>
  <c r="K31" i="14"/>
  <c r="K30" i="14"/>
  <c r="K29" i="14"/>
  <c r="K28" i="14"/>
  <c r="K27" i="14"/>
  <c r="K26" i="14"/>
  <c r="K25" i="14"/>
  <c r="K24" i="14"/>
  <c r="K23" i="14"/>
  <c r="K22" i="14"/>
  <c r="K21" i="14"/>
  <c r="K20" i="14"/>
  <c r="K19" i="14"/>
  <c r="K18" i="14"/>
  <c r="K17" i="14"/>
  <c r="K16" i="14"/>
  <c r="K15" i="14"/>
  <c r="K14" i="14"/>
  <c r="K13" i="14"/>
  <c r="K12" i="14"/>
  <c r="K11" i="14"/>
  <c r="K10" i="14"/>
  <c r="K9" i="14"/>
  <c r="K8" i="14"/>
  <c r="K7" i="14"/>
  <c r="B13" i="16"/>
  <c r="F16" i="13"/>
  <c r="B9" i="10"/>
  <c r="F61" i="10"/>
  <c r="J61" i="10"/>
  <c r="E61" i="10"/>
  <c r="G61" i="10"/>
  <c r="H61" i="10"/>
  <c r="I61" i="10"/>
  <c r="K61" i="10"/>
  <c r="H61" i="11"/>
  <c r="AA61" i="11"/>
  <c r="F82" i="10"/>
  <c r="J82" i="10"/>
  <c r="E82" i="10"/>
  <c r="G82" i="10"/>
  <c r="H82" i="10"/>
  <c r="I82" i="10"/>
  <c r="K82" i="10"/>
  <c r="H82" i="11"/>
  <c r="AA82" i="11"/>
  <c r="F93" i="10"/>
  <c r="J93" i="10"/>
  <c r="E93" i="10"/>
  <c r="G93" i="10"/>
  <c r="H93" i="10"/>
  <c r="I93" i="10"/>
  <c r="K93" i="10"/>
  <c r="H93" i="11"/>
  <c r="AA93" i="11"/>
  <c r="F98" i="10"/>
  <c r="J98" i="10"/>
  <c r="E98" i="10"/>
  <c r="G98" i="10"/>
  <c r="H98" i="10"/>
  <c r="I98" i="10"/>
  <c r="K98" i="10"/>
  <c r="H98" i="11"/>
  <c r="AA98" i="11"/>
  <c r="F19" i="10"/>
  <c r="J19" i="10"/>
  <c r="K19" i="10"/>
  <c r="H19" i="11"/>
  <c r="AA19" i="11"/>
  <c r="B9" i="11"/>
  <c r="L17" i="11"/>
  <c r="E19" i="10"/>
  <c r="B19" i="11"/>
  <c r="C19" i="11"/>
  <c r="F19" i="11"/>
  <c r="F20" i="10"/>
  <c r="J20" i="10"/>
  <c r="K20" i="10"/>
  <c r="H20" i="11"/>
  <c r="AA20" i="11"/>
  <c r="E20" i="10"/>
  <c r="B20" i="11"/>
  <c r="C20" i="11"/>
  <c r="F20" i="11"/>
  <c r="F21" i="10"/>
  <c r="J21" i="10"/>
  <c r="K21" i="10"/>
  <c r="H21" i="11"/>
  <c r="AA21" i="11"/>
  <c r="E21" i="10"/>
  <c r="B21" i="11"/>
  <c r="C21" i="11"/>
  <c r="F21" i="11"/>
  <c r="F22" i="10"/>
  <c r="J22" i="10"/>
  <c r="K22" i="10"/>
  <c r="H22" i="11"/>
  <c r="AA22" i="11"/>
  <c r="E22" i="10"/>
  <c r="B22" i="11"/>
  <c r="C22" i="11"/>
  <c r="F22" i="11"/>
  <c r="F23" i="10"/>
  <c r="J23" i="10"/>
  <c r="K23" i="10"/>
  <c r="H23" i="11"/>
  <c r="AA23" i="11"/>
  <c r="E23" i="10"/>
  <c r="B23" i="11"/>
  <c r="C23" i="11"/>
  <c r="F23" i="11"/>
  <c r="F24" i="10"/>
  <c r="J24" i="10"/>
  <c r="K24" i="10"/>
  <c r="H24" i="11"/>
  <c r="AA24" i="11"/>
  <c r="E24" i="10"/>
  <c r="B24" i="11"/>
  <c r="C24" i="11"/>
  <c r="F24" i="11"/>
  <c r="F25" i="10"/>
  <c r="J25" i="10"/>
  <c r="K25" i="10"/>
  <c r="H25" i="11"/>
  <c r="AA25" i="11"/>
  <c r="E25" i="10"/>
  <c r="B25" i="11"/>
  <c r="C25" i="11"/>
  <c r="F25" i="11"/>
  <c r="F26" i="10"/>
  <c r="J26" i="10"/>
  <c r="K26" i="10"/>
  <c r="H26" i="11"/>
  <c r="AA26" i="11"/>
  <c r="E26" i="10"/>
  <c r="B26" i="11"/>
  <c r="C26" i="11"/>
  <c r="F26" i="11"/>
  <c r="F27" i="10"/>
  <c r="J27" i="10"/>
  <c r="K27" i="10"/>
  <c r="H27" i="11"/>
  <c r="AA27" i="11"/>
  <c r="E27" i="10"/>
  <c r="B27" i="11"/>
  <c r="C27" i="11"/>
  <c r="F27" i="11"/>
  <c r="F28" i="10"/>
  <c r="J28" i="10"/>
  <c r="K28" i="10"/>
  <c r="H28" i="11"/>
  <c r="AA28" i="11"/>
  <c r="E28" i="10"/>
  <c r="B28" i="11"/>
  <c r="C28" i="11"/>
  <c r="F28" i="11"/>
  <c r="F29" i="10"/>
  <c r="J29" i="10"/>
  <c r="K29" i="10"/>
  <c r="H29" i="11"/>
  <c r="AA29" i="11"/>
  <c r="E29" i="10"/>
  <c r="B29" i="11"/>
  <c r="C29" i="11"/>
  <c r="F29" i="11"/>
  <c r="F30" i="10"/>
  <c r="J30" i="10"/>
  <c r="K30" i="10"/>
  <c r="H30" i="11"/>
  <c r="AA30" i="11"/>
  <c r="E30" i="10"/>
  <c r="B30" i="11"/>
  <c r="C30" i="11"/>
  <c r="F30" i="11"/>
  <c r="F31" i="10"/>
  <c r="J31" i="10"/>
  <c r="K31" i="10"/>
  <c r="H31" i="11"/>
  <c r="AA31" i="11"/>
  <c r="E31" i="10"/>
  <c r="B31" i="11"/>
  <c r="C31" i="11"/>
  <c r="F31" i="11"/>
  <c r="F32" i="10"/>
  <c r="J32" i="10"/>
  <c r="K32" i="10"/>
  <c r="H32" i="11"/>
  <c r="AA32" i="11"/>
  <c r="E32" i="10"/>
  <c r="B32" i="11"/>
  <c r="C32" i="11"/>
  <c r="F32" i="11"/>
  <c r="F33" i="10"/>
  <c r="J33" i="10"/>
  <c r="K33" i="10"/>
  <c r="H33" i="11"/>
  <c r="AA33" i="11"/>
  <c r="E33" i="10"/>
  <c r="B33" i="11"/>
  <c r="C33" i="11"/>
  <c r="F33" i="11"/>
  <c r="F34" i="10"/>
  <c r="J34" i="10"/>
  <c r="K34" i="10"/>
  <c r="H34" i="11"/>
  <c r="AA34" i="11"/>
  <c r="E34" i="10"/>
  <c r="B34" i="11"/>
  <c r="C34" i="11"/>
  <c r="F34" i="11"/>
  <c r="F35" i="10"/>
  <c r="J35" i="10"/>
  <c r="K35" i="10"/>
  <c r="H35" i="11"/>
  <c r="AA35" i="11"/>
  <c r="E35" i="10"/>
  <c r="B35" i="11"/>
  <c r="C35" i="11"/>
  <c r="F35" i="11"/>
  <c r="F36" i="10"/>
  <c r="J36" i="10"/>
  <c r="K36" i="10"/>
  <c r="H36" i="11"/>
  <c r="AA36" i="11"/>
  <c r="E36" i="10"/>
  <c r="B36" i="11"/>
  <c r="C36" i="11"/>
  <c r="F36" i="11"/>
  <c r="F37" i="10"/>
  <c r="J37" i="10"/>
  <c r="K37" i="10"/>
  <c r="H37" i="11"/>
  <c r="AA37" i="11"/>
  <c r="E37" i="10"/>
  <c r="B37" i="11"/>
  <c r="C37" i="11"/>
  <c r="F37" i="11"/>
  <c r="F38" i="10"/>
  <c r="J38" i="10"/>
  <c r="K38" i="10"/>
  <c r="H38" i="11"/>
  <c r="AA38" i="11"/>
  <c r="E38" i="10"/>
  <c r="B38" i="11"/>
  <c r="C38" i="11"/>
  <c r="F38" i="11"/>
  <c r="F39" i="10"/>
  <c r="J39" i="10"/>
  <c r="K39" i="10"/>
  <c r="H39" i="11"/>
  <c r="AA39" i="11"/>
  <c r="E39" i="10"/>
  <c r="B39" i="11"/>
  <c r="C39" i="11"/>
  <c r="F39" i="11"/>
  <c r="F40" i="10"/>
  <c r="J40" i="10"/>
  <c r="K40" i="10"/>
  <c r="H40" i="11"/>
  <c r="AA40" i="11"/>
  <c r="E40" i="10"/>
  <c r="B40" i="11"/>
  <c r="C40" i="11"/>
  <c r="F40" i="11"/>
  <c r="F41" i="10"/>
  <c r="J41" i="10"/>
  <c r="E41" i="10"/>
  <c r="G41" i="10"/>
  <c r="H41" i="10"/>
  <c r="I41" i="10"/>
  <c r="K41" i="10"/>
  <c r="H41" i="11"/>
  <c r="AA41" i="11"/>
  <c r="B41" i="11"/>
  <c r="C41" i="11"/>
  <c r="F41" i="11"/>
  <c r="F42" i="10"/>
  <c r="J42" i="10"/>
  <c r="E42" i="10"/>
  <c r="G42" i="10"/>
  <c r="H42" i="10"/>
  <c r="I42" i="10"/>
  <c r="K42" i="10"/>
  <c r="H42" i="11"/>
  <c r="AA42" i="11"/>
  <c r="B42" i="11"/>
  <c r="C42" i="11"/>
  <c r="F42" i="11"/>
  <c r="F43" i="10"/>
  <c r="J43" i="10"/>
  <c r="E43" i="10"/>
  <c r="G43" i="10"/>
  <c r="H43" i="10"/>
  <c r="I43" i="10"/>
  <c r="K43" i="10"/>
  <c r="H43" i="11"/>
  <c r="AA43" i="11"/>
  <c r="B43" i="11"/>
  <c r="C43" i="11"/>
  <c r="F43" i="11"/>
  <c r="F44" i="10"/>
  <c r="J44" i="10"/>
  <c r="E44" i="10"/>
  <c r="G44" i="10"/>
  <c r="H44" i="10"/>
  <c r="I44" i="10"/>
  <c r="K44" i="10"/>
  <c r="H44" i="11"/>
  <c r="AA44" i="11"/>
  <c r="B44" i="11"/>
  <c r="C44" i="11"/>
  <c r="F44" i="11"/>
  <c r="F45" i="10"/>
  <c r="J45" i="10"/>
  <c r="E45" i="10"/>
  <c r="G45" i="10"/>
  <c r="H45" i="10"/>
  <c r="I45" i="10"/>
  <c r="K45" i="10"/>
  <c r="H45" i="11"/>
  <c r="AA45" i="11"/>
  <c r="B45" i="11"/>
  <c r="C45" i="11"/>
  <c r="F45" i="11"/>
  <c r="F46" i="10"/>
  <c r="J46" i="10"/>
  <c r="E46" i="10"/>
  <c r="G46" i="10"/>
  <c r="H46" i="10"/>
  <c r="I46" i="10"/>
  <c r="K46" i="10"/>
  <c r="H46" i="11"/>
  <c r="AA46" i="11"/>
  <c r="B46" i="11"/>
  <c r="C46" i="11"/>
  <c r="F46" i="11"/>
  <c r="F47" i="10"/>
  <c r="J47" i="10"/>
  <c r="E47" i="10"/>
  <c r="G47" i="10"/>
  <c r="H47" i="10"/>
  <c r="I47" i="10"/>
  <c r="K47" i="10"/>
  <c r="H47" i="11"/>
  <c r="AA47" i="11"/>
  <c r="B47" i="11"/>
  <c r="C47" i="11"/>
  <c r="F47" i="11"/>
  <c r="F48" i="10"/>
  <c r="J48" i="10"/>
  <c r="E48" i="10"/>
  <c r="G48" i="10"/>
  <c r="H48" i="10"/>
  <c r="I48" i="10"/>
  <c r="K48" i="10"/>
  <c r="H48" i="11"/>
  <c r="AA48" i="11"/>
  <c r="B48" i="11"/>
  <c r="C48" i="11"/>
  <c r="F48" i="11"/>
  <c r="F49" i="10"/>
  <c r="J49" i="10"/>
  <c r="E49" i="10"/>
  <c r="G49" i="10"/>
  <c r="H49" i="10"/>
  <c r="I49" i="10"/>
  <c r="K49" i="10"/>
  <c r="H49" i="11"/>
  <c r="AA49" i="11"/>
  <c r="B49" i="11"/>
  <c r="C49" i="11"/>
  <c r="F49" i="11"/>
  <c r="F50" i="10"/>
  <c r="J50" i="10"/>
  <c r="E50" i="10"/>
  <c r="G50" i="10"/>
  <c r="H50" i="10"/>
  <c r="I50" i="10"/>
  <c r="K50" i="10"/>
  <c r="H50" i="11"/>
  <c r="AA50" i="11"/>
  <c r="B50" i="11"/>
  <c r="C50" i="11"/>
  <c r="F50" i="11"/>
  <c r="F51" i="10"/>
  <c r="J51" i="10"/>
  <c r="E51" i="10"/>
  <c r="G51" i="10"/>
  <c r="H51" i="10"/>
  <c r="I51" i="10"/>
  <c r="K51" i="10"/>
  <c r="H51" i="11"/>
  <c r="AA51" i="11"/>
  <c r="B51" i="11"/>
  <c r="C51" i="11"/>
  <c r="F51" i="11"/>
  <c r="F52" i="10"/>
  <c r="J52" i="10"/>
  <c r="E52" i="10"/>
  <c r="G52" i="10"/>
  <c r="H52" i="10"/>
  <c r="I52" i="10"/>
  <c r="K52" i="10"/>
  <c r="H52" i="11"/>
  <c r="AA52" i="11"/>
  <c r="B52" i="11"/>
  <c r="C52" i="11"/>
  <c r="F52" i="11"/>
  <c r="F53" i="10"/>
  <c r="J53" i="10"/>
  <c r="E53" i="10"/>
  <c r="G53" i="10"/>
  <c r="H53" i="10"/>
  <c r="I53" i="10"/>
  <c r="K53" i="10"/>
  <c r="H53" i="11"/>
  <c r="AA53" i="11"/>
  <c r="B53" i="11"/>
  <c r="C53" i="11"/>
  <c r="F53" i="11"/>
  <c r="F54" i="10"/>
  <c r="J54" i="10"/>
  <c r="E54" i="10"/>
  <c r="G54" i="10"/>
  <c r="H54" i="10"/>
  <c r="I54" i="10"/>
  <c r="K54" i="10"/>
  <c r="H54" i="11"/>
  <c r="AA54" i="11"/>
  <c r="B54" i="11"/>
  <c r="C54" i="11"/>
  <c r="F54" i="11"/>
  <c r="F55" i="10"/>
  <c r="J55" i="10"/>
  <c r="E55" i="10"/>
  <c r="G55" i="10"/>
  <c r="H55" i="10"/>
  <c r="I55" i="10"/>
  <c r="K55" i="10"/>
  <c r="H55" i="11"/>
  <c r="AA55" i="11"/>
  <c r="B55" i="11"/>
  <c r="C55" i="11"/>
  <c r="F55" i="11"/>
  <c r="F56" i="10"/>
  <c r="J56" i="10"/>
  <c r="E56" i="10"/>
  <c r="G56" i="10"/>
  <c r="H56" i="10"/>
  <c r="I56" i="10"/>
  <c r="K56" i="10"/>
  <c r="H56" i="11"/>
  <c r="AA56" i="11"/>
  <c r="B56" i="11"/>
  <c r="C56" i="11"/>
  <c r="F56" i="11"/>
  <c r="F57" i="10"/>
  <c r="J57" i="10"/>
  <c r="E57" i="10"/>
  <c r="G57" i="10"/>
  <c r="H57" i="10"/>
  <c r="I57" i="10"/>
  <c r="K57" i="10"/>
  <c r="H57" i="11"/>
  <c r="AA57" i="11"/>
  <c r="B57" i="11"/>
  <c r="C57" i="11"/>
  <c r="F57" i="11"/>
  <c r="F58" i="10"/>
  <c r="J58" i="10"/>
  <c r="E58" i="10"/>
  <c r="G58" i="10"/>
  <c r="H58" i="10"/>
  <c r="I58" i="10"/>
  <c r="K58" i="10"/>
  <c r="H58" i="11"/>
  <c r="AA58" i="11"/>
  <c r="B58" i="11"/>
  <c r="C58" i="11"/>
  <c r="F58" i="11"/>
  <c r="F59" i="10"/>
  <c r="J59" i="10"/>
  <c r="E59" i="10"/>
  <c r="G59" i="10"/>
  <c r="H59" i="10"/>
  <c r="I59" i="10"/>
  <c r="K59" i="10"/>
  <c r="H59" i="11"/>
  <c r="AA59" i="11"/>
  <c r="B59" i="11"/>
  <c r="C59" i="11"/>
  <c r="F59" i="11"/>
  <c r="F60" i="10"/>
  <c r="J60" i="10"/>
  <c r="E60" i="10"/>
  <c r="G60" i="10"/>
  <c r="H60" i="10"/>
  <c r="I60" i="10"/>
  <c r="K60" i="10"/>
  <c r="H60" i="11"/>
  <c r="AA60" i="11"/>
  <c r="B60" i="11"/>
  <c r="C60" i="11"/>
  <c r="F60" i="11"/>
  <c r="B61" i="11"/>
  <c r="C61" i="11"/>
  <c r="F61" i="11"/>
  <c r="F62" i="10"/>
  <c r="J62" i="10"/>
  <c r="E62" i="10"/>
  <c r="G62" i="10"/>
  <c r="H62" i="10"/>
  <c r="I62" i="10"/>
  <c r="K62" i="10"/>
  <c r="H62" i="11"/>
  <c r="AA62" i="11"/>
  <c r="B62" i="11"/>
  <c r="C62" i="11"/>
  <c r="F62" i="11"/>
  <c r="F63" i="10"/>
  <c r="J63" i="10"/>
  <c r="E63" i="10"/>
  <c r="G63" i="10"/>
  <c r="H63" i="10"/>
  <c r="I63" i="10"/>
  <c r="K63" i="10"/>
  <c r="H63" i="11"/>
  <c r="AA63" i="11"/>
  <c r="B63" i="11"/>
  <c r="C63" i="11"/>
  <c r="F63" i="11"/>
  <c r="F64" i="10"/>
  <c r="J64" i="10"/>
  <c r="E64" i="10"/>
  <c r="G64" i="10"/>
  <c r="H64" i="10"/>
  <c r="I64" i="10"/>
  <c r="K64" i="10"/>
  <c r="H64" i="11"/>
  <c r="AA64" i="11"/>
  <c r="B64" i="11"/>
  <c r="C64" i="11"/>
  <c r="F64" i="11"/>
  <c r="F65" i="10"/>
  <c r="J65" i="10"/>
  <c r="E65" i="10"/>
  <c r="G65" i="10"/>
  <c r="H65" i="10"/>
  <c r="I65" i="10"/>
  <c r="K65" i="10"/>
  <c r="H65" i="11"/>
  <c r="AA65" i="11"/>
  <c r="B65" i="11"/>
  <c r="C65" i="11"/>
  <c r="F65" i="11"/>
  <c r="F66" i="10"/>
  <c r="J66" i="10"/>
  <c r="E66" i="10"/>
  <c r="G66" i="10"/>
  <c r="H66" i="10"/>
  <c r="I66" i="10"/>
  <c r="K66" i="10"/>
  <c r="H66" i="11"/>
  <c r="AA66" i="11"/>
  <c r="B66" i="11"/>
  <c r="C66" i="11"/>
  <c r="F66" i="11"/>
  <c r="F67" i="10"/>
  <c r="J67" i="10"/>
  <c r="E67" i="10"/>
  <c r="G67" i="10"/>
  <c r="H67" i="10"/>
  <c r="I67" i="10"/>
  <c r="K67" i="10"/>
  <c r="H67" i="11"/>
  <c r="AA67" i="11"/>
  <c r="B67" i="11"/>
  <c r="C67" i="11"/>
  <c r="F67" i="11"/>
  <c r="F68" i="10"/>
  <c r="J68" i="10"/>
  <c r="E68" i="10"/>
  <c r="G68" i="10"/>
  <c r="H68" i="10"/>
  <c r="I68" i="10"/>
  <c r="K68" i="10"/>
  <c r="H68" i="11"/>
  <c r="AA68" i="11"/>
  <c r="B68" i="11"/>
  <c r="C68" i="11"/>
  <c r="F68" i="11"/>
  <c r="F69" i="10"/>
  <c r="J69" i="10"/>
  <c r="E69" i="10"/>
  <c r="G69" i="10"/>
  <c r="H69" i="10"/>
  <c r="I69" i="10"/>
  <c r="K69" i="10"/>
  <c r="H69" i="11"/>
  <c r="AA69" i="11"/>
  <c r="B69" i="11"/>
  <c r="C69" i="11"/>
  <c r="F69" i="11"/>
  <c r="F70" i="10"/>
  <c r="J70" i="10"/>
  <c r="E70" i="10"/>
  <c r="G70" i="10"/>
  <c r="H70" i="10"/>
  <c r="I70" i="10"/>
  <c r="K70" i="10"/>
  <c r="H70" i="11"/>
  <c r="AA70" i="11"/>
  <c r="B70" i="11"/>
  <c r="C70" i="11"/>
  <c r="F70" i="11"/>
  <c r="F71" i="10"/>
  <c r="J71" i="10"/>
  <c r="E71" i="10"/>
  <c r="G71" i="10"/>
  <c r="H71" i="10"/>
  <c r="I71" i="10"/>
  <c r="K71" i="10"/>
  <c r="H71" i="11"/>
  <c r="AA71" i="11"/>
  <c r="B71" i="11"/>
  <c r="C71" i="11"/>
  <c r="F71" i="11"/>
  <c r="F72" i="10"/>
  <c r="J72" i="10"/>
  <c r="E72" i="10"/>
  <c r="G72" i="10"/>
  <c r="H72" i="10"/>
  <c r="I72" i="10"/>
  <c r="K72" i="10"/>
  <c r="H72" i="11"/>
  <c r="AA72" i="11"/>
  <c r="B72" i="11"/>
  <c r="C72" i="11"/>
  <c r="F72" i="11"/>
  <c r="F73" i="10"/>
  <c r="J73" i="10"/>
  <c r="E73" i="10"/>
  <c r="G73" i="10"/>
  <c r="H73" i="10"/>
  <c r="I73" i="10"/>
  <c r="K73" i="10"/>
  <c r="H73" i="11"/>
  <c r="AA73" i="11"/>
  <c r="B73" i="11"/>
  <c r="C73" i="11"/>
  <c r="F73" i="11"/>
  <c r="F74" i="10"/>
  <c r="J74" i="10"/>
  <c r="E74" i="10"/>
  <c r="G74" i="10"/>
  <c r="H74" i="10"/>
  <c r="I74" i="10"/>
  <c r="K74" i="10"/>
  <c r="H74" i="11"/>
  <c r="AA74" i="11"/>
  <c r="B74" i="11"/>
  <c r="C74" i="11"/>
  <c r="F74" i="11"/>
  <c r="F75" i="10"/>
  <c r="J75" i="10"/>
  <c r="E75" i="10"/>
  <c r="G75" i="10"/>
  <c r="H75" i="10"/>
  <c r="I75" i="10"/>
  <c r="K75" i="10"/>
  <c r="H75" i="11"/>
  <c r="AA75" i="11"/>
  <c r="B75" i="11"/>
  <c r="C75" i="11"/>
  <c r="F75" i="11"/>
  <c r="F76" i="10"/>
  <c r="J76" i="10"/>
  <c r="E76" i="10"/>
  <c r="G76" i="10"/>
  <c r="H76" i="10"/>
  <c r="I76" i="10"/>
  <c r="K76" i="10"/>
  <c r="H76" i="11"/>
  <c r="AA76" i="11"/>
  <c r="B76" i="11"/>
  <c r="C76" i="11"/>
  <c r="F76" i="11"/>
  <c r="F77" i="10"/>
  <c r="J77" i="10"/>
  <c r="E77" i="10"/>
  <c r="G77" i="10"/>
  <c r="H77" i="10"/>
  <c r="I77" i="10"/>
  <c r="K77" i="10"/>
  <c r="H77" i="11"/>
  <c r="AA77" i="11"/>
  <c r="B77" i="11"/>
  <c r="C77" i="11"/>
  <c r="F77" i="11"/>
  <c r="F78" i="10"/>
  <c r="J78" i="10"/>
  <c r="E78" i="10"/>
  <c r="G78" i="10"/>
  <c r="H78" i="10"/>
  <c r="I78" i="10"/>
  <c r="K78" i="10"/>
  <c r="H78" i="11"/>
  <c r="AA78" i="11"/>
  <c r="B78" i="11"/>
  <c r="C78" i="11"/>
  <c r="F78" i="11"/>
  <c r="F79" i="10"/>
  <c r="J79" i="10"/>
  <c r="E79" i="10"/>
  <c r="G79" i="10"/>
  <c r="H79" i="10"/>
  <c r="I79" i="10"/>
  <c r="K79" i="10"/>
  <c r="H79" i="11"/>
  <c r="AA79" i="11"/>
  <c r="B79" i="11"/>
  <c r="C79" i="11"/>
  <c r="F79" i="11"/>
  <c r="F80" i="10"/>
  <c r="J80" i="10"/>
  <c r="E80" i="10"/>
  <c r="G80" i="10"/>
  <c r="H80" i="10"/>
  <c r="I80" i="10"/>
  <c r="K80" i="10"/>
  <c r="H80" i="11"/>
  <c r="AA80" i="11"/>
  <c r="B80" i="11"/>
  <c r="C80" i="11"/>
  <c r="F80" i="11"/>
  <c r="F81" i="10"/>
  <c r="J81" i="10"/>
  <c r="E81" i="10"/>
  <c r="G81" i="10"/>
  <c r="H81" i="10"/>
  <c r="I81" i="10"/>
  <c r="K81" i="10"/>
  <c r="H81" i="11"/>
  <c r="AA81" i="11"/>
  <c r="B81" i="11"/>
  <c r="C81" i="11"/>
  <c r="F81" i="11"/>
  <c r="B82" i="11"/>
  <c r="C82" i="11"/>
  <c r="F82" i="11"/>
  <c r="F83" i="10"/>
  <c r="J83" i="10"/>
  <c r="E83" i="10"/>
  <c r="G83" i="10"/>
  <c r="H83" i="10"/>
  <c r="I83" i="10"/>
  <c r="K83" i="10"/>
  <c r="H83" i="11"/>
  <c r="AA83" i="11"/>
  <c r="B83" i="11"/>
  <c r="C83" i="11"/>
  <c r="F83" i="11"/>
  <c r="F84" i="10"/>
  <c r="J84" i="10"/>
  <c r="E84" i="10"/>
  <c r="G84" i="10"/>
  <c r="H84" i="10"/>
  <c r="I84" i="10"/>
  <c r="K84" i="10"/>
  <c r="H84" i="11"/>
  <c r="AA84" i="11"/>
  <c r="B84" i="11"/>
  <c r="C84" i="11"/>
  <c r="F84" i="11"/>
  <c r="F85" i="10"/>
  <c r="J85" i="10"/>
  <c r="E85" i="10"/>
  <c r="G85" i="10"/>
  <c r="H85" i="10"/>
  <c r="I85" i="10"/>
  <c r="K85" i="10"/>
  <c r="H85" i="11"/>
  <c r="AA85" i="11"/>
  <c r="B85" i="11"/>
  <c r="C85" i="11"/>
  <c r="F85" i="11"/>
  <c r="F86" i="10"/>
  <c r="J86" i="10"/>
  <c r="E86" i="10"/>
  <c r="G86" i="10"/>
  <c r="H86" i="10"/>
  <c r="I86" i="10"/>
  <c r="K86" i="10"/>
  <c r="H86" i="11"/>
  <c r="AA86" i="11"/>
  <c r="B86" i="11"/>
  <c r="C86" i="11"/>
  <c r="F86" i="11"/>
  <c r="F87" i="10"/>
  <c r="J87" i="10"/>
  <c r="E87" i="10"/>
  <c r="G87" i="10"/>
  <c r="H87" i="10"/>
  <c r="I87" i="10"/>
  <c r="K87" i="10"/>
  <c r="H87" i="11"/>
  <c r="AA87" i="11"/>
  <c r="B87" i="11"/>
  <c r="C87" i="11"/>
  <c r="F87" i="11"/>
  <c r="F88" i="10"/>
  <c r="J88" i="10"/>
  <c r="E88" i="10"/>
  <c r="G88" i="10"/>
  <c r="H88" i="10"/>
  <c r="I88" i="10"/>
  <c r="K88" i="10"/>
  <c r="H88" i="11"/>
  <c r="AA88" i="11"/>
  <c r="B88" i="11"/>
  <c r="C88" i="11"/>
  <c r="F88" i="11"/>
  <c r="F89" i="10"/>
  <c r="J89" i="10"/>
  <c r="E89" i="10"/>
  <c r="G89" i="10"/>
  <c r="H89" i="10"/>
  <c r="I89" i="10"/>
  <c r="K89" i="10"/>
  <c r="H89" i="11"/>
  <c r="AA89" i="11"/>
  <c r="B89" i="11"/>
  <c r="C89" i="11"/>
  <c r="F89" i="11"/>
  <c r="F90" i="10"/>
  <c r="J90" i="10"/>
  <c r="E90" i="10"/>
  <c r="G90" i="10"/>
  <c r="H90" i="10"/>
  <c r="I90" i="10"/>
  <c r="K90" i="10"/>
  <c r="H90" i="11"/>
  <c r="AA90" i="11"/>
  <c r="B90" i="11"/>
  <c r="C90" i="11"/>
  <c r="F90" i="11"/>
  <c r="F91" i="10"/>
  <c r="J91" i="10"/>
  <c r="E91" i="10"/>
  <c r="G91" i="10"/>
  <c r="H91" i="10"/>
  <c r="I91" i="10"/>
  <c r="K91" i="10"/>
  <c r="H91" i="11"/>
  <c r="AA91" i="11"/>
  <c r="B91" i="11"/>
  <c r="C91" i="11"/>
  <c r="F91" i="11"/>
  <c r="F92" i="10"/>
  <c r="J92" i="10"/>
  <c r="E92" i="10"/>
  <c r="G92" i="10"/>
  <c r="H92" i="10"/>
  <c r="I92" i="10"/>
  <c r="K92" i="10"/>
  <c r="H92" i="11"/>
  <c r="AA92" i="11"/>
  <c r="B92" i="11"/>
  <c r="C92" i="11"/>
  <c r="F92" i="11"/>
  <c r="B93" i="11"/>
  <c r="C93" i="11"/>
  <c r="F93" i="11"/>
  <c r="F94" i="10"/>
  <c r="J94" i="10"/>
  <c r="E94" i="10"/>
  <c r="G94" i="10"/>
  <c r="H94" i="10"/>
  <c r="I94" i="10"/>
  <c r="K94" i="10"/>
  <c r="H94" i="11"/>
  <c r="AA94" i="11"/>
  <c r="B94" i="11"/>
  <c r="C94" i="11"/>
  <c r="F94" i="11"/>
  <c r="F95" i="10"/>
  <c r="J95" i="10"/>
  <c r="E95" i="10"/>
  <c r="G95" i="10"/>
  <c r="H95" i="10"/>
  <c r="I95" i="10"/>
  <c r="K95" i="10"/>
  <c r="H95" i="11"/>
  <c r="AA95" i="11"/>
  <c r="B95" i="11"/>
  <c r="C95" i="11"/>
  <c r="F95" i="11"/>
  <c r="F96" i="10"/>
  <c r="J96" i="10"/>
  <c r="E96" i="10"/>
  <c r="G96" i="10"/>
  <c r="H96" i="10"/>
  <c r="I96" i="10"/>
  <c r="K96" i="10"/>
  <c r="H96" i="11"/>
  <c r="AA96" i="11"/>
  <c r="B96" i="11"/>
  <c r="C96" i="11"/>
  <c r="F96" i="11"/>
  <c r="F97" i="10"/>
  <c r="J97" i="10"/>
  <c r="E97" i="10"/>
  <c r="G97" i="10"/>
  <c r="H97" i="10"/>
  <c r="I97" i="10"/>
  <c r="K97" i="10"/>
  <c r="H97" i="11"/>
  <c r="AA97" i="11"/>
  <c r="B97" i="11"/>
  <c r="C97" i="11"/>
  <c r="F97" i="11"/>
  <c r="B98" i="11"/>
  <c r="C98" i="11"/>
  <c r="F98" i="11"/>
  <c r="F99" i="10"/>
  <c r="J99" i="10"/>
  <c r="E99" i="10"/>
  <c r="G99" i="10"/>
  <c r="H99" i="10"/>
  <c r="I99" i="10"/>
  <c r="K99" i="10"/>
  <c r="H99" i="11"/>
  <c r="AA99" i="11"/>
  <c r="B99" i="11"/>
  <c r="C99" i="11"/>
  <c r="F99" i="11"/>
  <c r="F100" i="10"/>
  <c r="J100" i="10"/>
  <c r="E100" i="10"/>
  <c r="G100" i="10"/>
  <c r="H100" i="10"/>
  <c r="I100" i="10"/>
  <c r="K100" i="10"/>
  <c r="H100" i="11"/>
  <c r="AA100" i="11"/>
  <c r="B100" i="11"/>
  <c r="C100" i="11"/>
  <c r="F100" i="11"/>
  <c r="F101" i="10"/>
  <c r="J101" i="10"/>
  <c r="E101" i="10"/>
  <c r="G101" i="10"/>
  <c r="H101" i="10"/>
  <c r="I101" i="10"/>
  <c r="K101" i="10"/>
  <c r="H101" i="11"/>
  <c r="AA101" i="11"/>
  <c r="B101" i="11"/>
  <c r="C101" i="11"/>
  <c r="F101" i="11"/>
  <c r="F102" i="10"/>
  <c r="J102" i="10"/>
  <c r="E102" i="10"/>
  <c r="G102" i="10"/>
  <c r="H102" i="10"/>
  <c r="I102" i="10"/>
  <c r="K102" i="10"/>
  <c r="H102" i="11"/>
  <c r="AA102" i="11"/>
  <c r="B102" i="11"/>
  <c r="C102" i="11"/>
  <c r="F102" i="11"/>
  <c r="F103" i="10"/>
  <c r="J103" i="10"/>
  <c r="E103" i="10"/>
  <c r="G103" i="10"/>
  <c r="H103" i="10"/>
  <c r="I103" i="10"/>
  <c r="K103" i="10"/>
  <c r="H103" i="11"/>
  <c r="AA103" i="11"/>
  <c r="B103" i="11"/>
  <c r="C103" i="11"/>
  <c r="F103" i="11"/>
  <c r="F16" i="11"/>
  <c r="F16" i="9"/>
  <c r="D7" i="16"/>
  <c r="E7" i="16"/>
  <c r="F7" i="16"/>
  <c r="B15" i="16"/>
  <c r="G19" i="12"/>
  <c r="H19" i="12"/>
  <c r="I19" i="12"/>
  <c r="G20" i="12"/>
  <c r="H20" i="12"/>
  <c r="I20" i="12"/>
  <c r="G21" i="12"/>
  <c r="H21" i="12"/>
  <c r="I21" i="12"/>
  <c r="G22" i="12"/>
  <c r="H22" i="12"/>
  <c r="I22" i="12"/>
  <c r="G23" i="12"/>
  <c r="H23" i="12"/>
  <c r="I23" i="12"/>
  <c r="G24" i="12"/>
  <c r="H24" i="12"/>
  <c r="I24" i="12"/>
  <c r="G25" i="12"/>
  <c r="H25" i="12"/>
  <c r="I25" i="12"/>
  <c r="G26" i="12"/>
  <c r="H26" i="12"/>
  <c r="I26" i="12"/>
  <c r="G27" i="12"/>
  <c r="H27" i="12"/>
  <c r="I27" i="12"/>
  <c r="G28" i="12"/>
  <c r="H28" i="12"/>
  <c r="I28" i="12"/>
  <c r="G29" i="12"/>
  <c r="H29" i="12"/>
  <c r="I29" i="12"/>
  <c r="G30" i="12"/>
  <c r="H30" i="12"/>
  <c r="I30" i="12"/>
  <c r="G31" i="12"/>
  <c r="H31" i="12"/>
  <c r="I31" i="12"/>
  <c r="G32" i="12"/>
  <c r="H32" i="12"/>
  <c r="I32" i="12"/>
  <c r="G33" i="12"/>
  <c r="H33" i="12"/>
  <c r="I33" i="12"/>
  <c r="G34" i="12"/>
  <c r="H34" i="12"/>
  <c r="I34" i="12"/>
  <c r="G35" i="12"/>
  <c r="H35" i="12"/>
  <c r="I35" i="12"/>
  <c r="G36" i="12"/>
  <c r="H36" i="12"/>
  <c r="I36" i="12"/>
  <c r="G37" i="12"/>
  <c r="H37" i="12"/>
  <c r="I37" i="12"/>
  <c r="G38" i="12"/>
  <c r="H38" i="12"/>
  <c r="I38" i="12"/>
  <c r="G39" i="12"/>
  <c r="H39" i="12"/>
  <c r="I39" i="12"/>
  <c r="G40" i="12"/>
  <c r="H40" i="12"/>
  <c r="I40" i="12"/>
  <c r="G19" i="10"/>
  <c r="H19" i="10"/>
  <c r="I19" i="10"/>
  <c r="G20" i="10"/>
  <c r="H20" i="10"/>
  <c r="I20" i="10"/>
  <c r="G21" i="10"/>
  <c r="H21" i="10"/>
  <c r="I21" i="10"/>
  <c r="G22" i="10"/>
  <c r="H22" i="10"/>
  <c r="I22" i="10"/>
  <c r="G23" i="10"/>
  <c r="H23" i="10"/>
  <c r="I23" i="10"/>
  <c r="G24" i="10"/>
  <c r="H24" i="10"/>
  <c r="I24" i="10"/>
  <c r="G25" i="10"/>
  <c r="H25" i="10"/>
  <c r="I25" i="10"/>
  <c r="G26" i="10"/>
  <c r="H26" i="10"/>
  <c r="I26" i="10"/>
  <c r="G27" i="10"/>
  <c r="H27" i="10"/>
  <c r="I27" i="10"/>
  <c r="G28" i="10"/>
  <c r="H28" i="10"/>
  <c r="I28" i="10"/>
  <c r="G29" i="10"/>
  <c r="H29" i="10"/>
  <c r="I29" i="10"/>
  <c r="G30" i="10"/>
  <c r="H30" i="10"/>
  <c r="I30" i="10"/>
  <c r="G31" i="10"/>
  <c r="H31" i="10"/>
  <c r="I31" i="10"/>
  <c r="G32" i="10"/>
  <c r="H32" i="10"/>
  <c r="I32" i="10"/>
  <c r="G33" i="10"/>
  <c r="H33" i="10"/>
  <c r="I33" i="10"/>
  <c r="G34" i="10"/>
  <c r="H34" i="10"/>
  <c r="I34" i="10"/>
  <c r="G35" i="10"/>
  <c r="H35" i="10"/>
  <c r="I35" i="10"/>
  <c r="G36" i="10"/>
  <c r="H36" i="10"/>
  <c r="I36" i="10"/>
  <c r="G37" i="10"/>
  <c r="H37" i="10"/>
  <c r="I37" i="10"/>
  <c r="G38" i="10"/>
  <c r="H38" i="10"/>
  <c r="I38" i="10"/>
  <c r="G39" i="10"/>
  <c r="H39" i="10"/>
  <c r="I39" i="10"/>
  <c r="G40" i="10"/>
  <c r="H40" i="10"/>
  <c r="I40" i="10"/>
  <c r="G19" i="8"/>
  <c r="H19" i="8"/>
  <c r="I19" i="8"/>
  <c r="G20" i="8"/>
  <c r="H20" i="8"/>
  <c r="I20" i="8"/>
  <c r="G21" i="8"/>
  <c r="H21" i="8"/>
  <c r="I21" i="8"/>
  <c r="G22" i="8"/>
  <c r="H22" i="8"/>
  <c r="I22" i="8"/>
  <c r="G23" i="8"/>
  <c r="H23" i="8"/>
  <c r="I23" i="8"/>
  <c r="G24" i="8"/>
  <c r="H24" i="8"/>
  <c r="I24" i="8"/>
  <c r="G25" i="8"/>
  <c r="H25" i="8"/>
  <c r="I25" i="8"/>
  <c r="G26" i="8"/>
  <c r="H26" i="8"/>
  <c r="I26" i="8"/>
  <c r="G27" i="8"/>
  <c r="H27" i="8"/>
  <c r="I27" i="8"/>
  <c r="G28" i="8"/>
  <c r="H28" i="8"/>
  <c r="I28" i="8"/>
  <c r="G29" i="8"/>
  <c r="H29" i="8"/>
  <c r="I29" i="8"/>
  <c r="G30" i="8"/>
  <c r="H30" i="8"/>
  <c r="I30" i="8"/>
  <c r="G31" i="8"/>
  <c r="H31" i="8"/>
  <c r="I31" i="8"/>
  <c r="G32" i="8"/>
  <c r="H32" i="8"/>
  <c r="I32" i="8"/>
  <c r="G33" i="8"/>
  <c r="H33" i="8"/>
  <c r="I33" i="8"/>
  <c r="G34" i="8"/>
  <c r="H34" i="8"/>
  <c r="I34" i="8"/>
  <c r="G35" i="8"/>
  <c r="H35" i="8"/>
  <c r="I35" i="8"/>
  <c r="G36" i="8"/>
  <c r="H36" i="8"/>
  <c r="I36" i="8"/>
  <c r="G37" i="8"/>
  <c r="H37" i="8"/>
  <c r="I37" i="8"/>
  <c r="G38" i="8"/>
  <c r="H38" i="8"/>
  <c r="I38" i="8"/>
  <c r="G39" i="8"/>
  <c r="H39" i="8"/>
  <c r="I39" i="8"/>
  <c r="G40" i="8"/>
  <c r="H40" i="8"/>
  <c r="I40" i="8"/>
  <c r="L19" i="8"/>
  <c r="N19" i="8"/>
  <c r="O19" i="8"/>
  <c r="L20" i="8"/>
  <c r="N20" i="8"/>
  <c r="O20" i="8"/>
  <c r="L21" i="8"/>
  <c r="N21" i="8"/>
  <c r="O21" i="8"/>
  <c r="L22" i="8"/>
  <c r="N22" i="8"/>
  <c r="O22" i="8"/>
  <c r="L23" i="8"/>
  <c r="N23" i="8"/>
  <c r="O23" i="8"/>
  <c r="L24" i="8"/>
  <c r="N24" i="8"/>
  <c r="O24" i="8"/>
  <c r="L25" i="8"/>
  <c r="N25" i="8"/>
  <c r="O25" i="8"/>
  <c r="L26" i="8"/>
  <c r="N26" i="8"/>
  <c r="O26" i="8"/>
  <c r="L27" i="8"/>
  <c r="N27" i="8"/>
  <c r="O27" i="8"/>
  <c r="L28" i="8"/>
  <c r="N28" i="8"/>
  <c r="O28" i="8"/>
  <c r="L29" i="8"/>
  <c r="N29" i="8"/>
  <c r="O29" i="8"/>
  <c r="L30" i="8"/>
  <c r="N30" i="8"/>
  <c r="O30" i="8"/>
  <c r="L31" i="8"/>
  <c r="N31" i="8"/>
  <c r="O31" i="8"/>
  <c r="L32" i="8"/>
  <c r="N32" i="8"/>
  <c r="O32" i="8"/>
  <c r="L33" i="8"/>
  <c r="N33" i="8"/>
  <c r="O33" i="8"/>
  <c r="L34" i="8"/>
  <c r="N34" i="8"/>
  <c r="O34" i="8"/>
  <c r="L35" i="8"/>
  <c r="N35" i="8"/>
  <c r="O35" i="8"/>
  <c r="L36" i="8"/>
  <c r="N36" i="8"/>
  <c r="O36" i="8"/>
  <c r="L37" i="8"/>
  <c r="N37" i="8"/>
  <c r="O37" i="8"/>
  <c r="L38" i="8"/>
  <c r="N38" i="8"/>
  <c r="O38" i="8"/>
  <c r="L39" i="8"/>
  <c r="N39" i="8"/>
  <c r="O39" i="8"/>
  <c r="L40" i="8"/>
  <c r="N40" i="8"/>
  <c r="O40" i="8"/>
  <c r="L41" i="8"/>
  <c r="N41" i="8"/>
  <c r="O41" i="8"/>
  <c r="L42" i="8"/>
  <c r="N42" i="8"/>
  <c r="O42" i="8"/>
  <c r="L43" i="8"/>
  <c r="N43" i="8"/>
  <c r="O43" i="8"/>
  <c r="L44" i="8"/>
  <c r="N44" i="8"/>
  <c r="O44" i="8"/>
  <c r="L45" i="8"/>
  <c r="N45" i="8"/>
  <c r="O45" i="8"/>
  <c r="L46" i="8"/>
  <c r="N46" i="8"/>
  <c r="O46" i="8"/>
  <c r="L47" i="8"/>
  <c r="N47" i="8"/>
  <c r="O47" i="8"/>
  <c r="L48" i="8"/>
  <c r="N48" i="8"/>
  <c r="O48" i="8"/>
  <c r="L49" i="8"/>
  <c r="N49" i="8"/>
  <c r="O49" i="8"/>
  <c r="L50" i="8"/>
  <c r="N50" i="8"/>
  <c r="O50" i="8"/>
  <c r="L51" i="8"/>
  <c r="N51" i="8"/>
  <c r="O51" i="8"/>
  <c r="L52" i="8"/>
  <c r="N52" i="8"/>
  <c r="O52" i="8"/>
  <c r="L53" i="8"/>
  <c r="N53" i="8"/>
  <c r="O53" i="8"/>
  <c r="L54" i="8"/>
  <c r="N54" i="8"/>
  <c r="O54" i="8"/>
  <c r="L55" i="8"/>
  <c r="N55" i="8"/>
  <c r="O55" i="8"/>
  <c r="L56" i="8"/>
  <c r="N56" i="8"/>
  <c r="O56" i="8"/>
  <c r="L57" i="8"/>
  <c r="N57" i="8"/>
  <c r="O57" i="8"/>
  <c r="L58" i="8"/>
  <c r="N58" i="8"/>
  <c r="O58" i="8"/>
  <c r="L59" i="8"/>
  <c r="N59" i="8"/>
  <c r="O59" i="8"/>
  <c r="L60" i="8"/>
  <c r="N60" i="8"/>
  <c r="O60" i="8"/>
  <c r="L61" i="8"/>
  <c r="N61" i="8"/>
  <c r="O61" i="8"/>
  <c r="L62" i="8"/>
  <c r="N62" i="8"/>
  <c r="O62" i="8"/>
  <c r="L63" i="8"/>
  <c r="N63" i="8"/>
  <c r="O63" i="8"/>
  <c r="L64" i="8"/>
  <c r="N64" i="8"/>
  <c r="O64" i="8"/>
  <c r="L65" i="8"/>
  <c r="N65" i="8"/>
  <c r="O65" i="8"/>
  <c r="L66" i="8"/>
  <c r="N66" i="8"/>
  <c r="O66" i="8"/>
  <c r="L67" i="8"/>
  <c r="N67" i="8"/>
  <c r="O67" i="8"/>
  <c r="L68" i="8"/>
  <c r="N68" i="8"/>
  <c r="O68" i="8"/>
  <c r="L69" i="8"/>
  <c r="N69" i="8"/>
  <c r="O69" i="8"/>
  <c r="L70" i="8"/>
  <c r="N70" i="8"/>
  <c r="O70" i="8"/>
  <c r="L71" i="8"/>
  <c r="N71" i="8"/>
  <c r="O71" i="8"/>
  <c r="L72" i="8"/>
  <c r="N72" i="8"/>
  <c r="O72" i="8"/>
  <c r="L73" i="8"/>
  <c r="N73" i="8"/>
  <c r="O73" i="8"/>
  <c r="L74" i="8"/>
  <c r="N74" i="8"/>
  <c r="O74" i="8"/>
  <c r="L75" i="8"/>
  <c r="N75" i="8"/>
  <c r="O75" i="8"/>
  <c r="L76" i="8"/>
  <c r="N76" i="8"/>
  <c r="O76" i="8"/>
  <c r="L77" i="8"/>
  <c r="N77" i="8"/>
  <c r="O77" i="8"/>
  <c r="L78" i="8"/>
  <c r="N78" i="8"/>
  <c r="O78" i="8"/>
  <c r="L79" i="8"/>
  <c r="N79" i="8"/>
  <c r="O79" i="8"/>
  <c r="L80" i="8"/>
  <c r="N80" i="8"/>
  <c r="O80" i="8"/>
  <c r="L81" i="8"/>
  <c r="N81" i="8"/>
  <c r="O81" i="8"/>
  <c r="L82" i="8"/>
  <c r="N82" i="8"/>
  <c r="O82" i="8"/>
  <c r="L83" i="8"/>
  <c r="N83" i="8"/>
  <c r="O83" i="8"/>
  <c r="L84" i="8"/>
  <c r="N84" i="8"/>
  <c r="O84" i="8"/>
  <c r="L85" i="8"/>
  <c r="N85" i="8"/>
  <c r="O85" i="8"/>
  <c r="L86" i="8"/>
  <c r="N86" i="8"/>
  <c r="O86" i="8"/>
  <c r="L87" i="8"/>
  <c r="N87" i="8"/>
  <c r="O87" i="8"/>
  <c r="L88" i="8"/>
  <c r="N88" i="8"/>
  <c r="O88" i="8"/>
  <c r="L89" i="8"/>
  <c r="N89" i="8"/>
  <c r="O89" i="8"/>
  <c r="L90" i="8"/>
  <c r="N90" i="8"/>
  <c r="O90" i="8"/>
  <c r="L91" i="8"/>
  <c r="N91" i="8"/>
  <c r="O91" i="8"/>
  <c r="L92" i="8"/>
  <c r="N92" i="8"/>
  <c r="O92" i="8"/>
  <c r="L93" i="8"/>
  <c r="N93" i="8"/>
  <c r="O93" i="8"/>
  <c r="L94" i="8"/>
  <c r="N94" i="8"/>
  <c r="O94" i="8"/>
  <c r="L95" i="8"/>
  <c r="N95" i="8"/>
  <c r="O95" i="8"/>
  <c r="L96" i="8"/>
  <c r="N96" i="8"/>
  <c r="O96" i="8"/>
  <c r="L97" i="8"/>
  <c r="N97" i="8"/>
  <c r="O97" i="8"/>
  <c r="L98" i="8"/>
  <c r="N98" i="8"/>
  <c r="O98" i="8"/>
  <c r="L99" i="8"/>
  <c r="N99" i="8"/>
  <c r="O99" i="8"/>
  <c r="L100" i="8"/>
  <c r="N100" i="8"/>
  <c r="O100" i="8"/>
  <c r="L101" i="8"/>
  <c r="N101" i="8"/>
  <c r="O101" i="8"/>
  <c r="L102" i="8"/>
  <c r="N102" i="8"/>
  <c r="O102" i="8"/>
  <c r="L103" i="8"/>
  <c r="N103" i="8"/>
  <c r="O103" i="8"/>
  <c r="V103" i="9"/>
  <c r="V102" i="9"/>
  <c r="V101" i="9"/>
  <c r="V100" i="9"/>
  <c r="V99" i="9"/>
  <c r="V98" i="9"/>
  <c r="V97" i="9"/>
  <c r="V96" i="9"/>
  <c r="V95" i="9"/>
  <c r="V94" i="9"/>
  <c r="V93" i="9"/>
  <c r="V92" i="9"/>
  <c r="V91" i="9"/>
  <c r="V90" i="9"/>
  <c r="V89" i="9"/>
  <c r="V88" i="9"/>
  <c r="V87" i="9"/>
  <c r="V86" i="9"/>
  <c r="V85" i="9"/>
  <c r="V84" i="9"/>
  <c r="V83" i="9"/>
  <c r="V82" i="9"/>
  <c r="V81" i="9"/>
  <c r="V80" i="9"/>
  <c r="V79" i="9"/>
  <c r="V78" i="9"/>
  <c r="V77" i="9"/>
  <c r="V76" i="9"/>
  <c r="V75" i="9"/>
  <c r="V74" i="9"/>
  <c r="V73" i="9"/>
  <c r="V72" i="9"/>
  <c r="V71" i="9"/>
  <c r="V70" i="9"/>
  <c r="V69" i="9"/>
  <c r="V68" i="9"/>
  <c r="V67" i="9"/>
  <c r="V66" i="9"/>
  <c r="V65" i="9"/>
  <c r="V64" i="9"/>
  <c r="V63" i="9"/>
  <c r="V62" i="9"/>
  <c r="V61" i="9"/>
  <c r="V60" i="9"/>
  <c r="V59" i="9"/>
  <c r="V58" i="9"/>
  <c r="V57" i="9"/>
  <c r="V56" i="9"/>
  <c r="V55" i="9"/>
  <c r="V54" i="9"/>
  <c r="V53" i="9"/>
  <c r="V52" i="9"/>
  <c r="V51" i="9"/>
  <c r="V50" i="9"/>
  <c r="V49" i="9"/>
  <c r="V48" i="9"/>
  <c r="V47" i="9"/>
  <c r="V46" i="9"/>
  <c r="V45" i="9"/>
  <c r="V44" i="9"/>
  <c r="V43" i="9"/>
  <c r="V42" i="9"/>
  <c r="V41" i="9"/>
  <c r="V40" i="9"/>
  <c r="V39" i="9"/>
  <c r="V38" i="9"/>
  <c r="V37" i="9"/>
  <c r="V36" i="9"/>
  <c r="V35" i="9"/>
  <c r="V34" i="9"/>
  <c r="V33" i="9"/>
  <c r="V32" i="9"/>
  <c r="V31" i="9"/>
  <c r="V30" i="9"/>
  <c r="V29" i="9"/>
  <c r="V28" i="9"/>
  <c r="V27" i="9"/>
  <c r="V26" i="9"/>
  <c r="V25" i="9"/>
  <c r="V24" i="9"/>
  <c r="V23" i="9"/>
  <c r="V22" i="9"/>
  <c r="V21" i="9"/>
  <c r="V20" i="9"/>
  <c r="V19" i="9"/>
  <c r="D101" i="9"/>
  <c r="D100" i="9"/>
  <c r="D99" i="9"/>
  <c r="D98" i="9"/>
  <c r="D97" i="9"/>
  <c r="D96" i="9"/>
  <c r="D95" i="9"/>
  <c r="D94" i="9"/>
  <c r="D93" i="9"/>
  <c r="D92" i="9"/>
  <c r="D91" i="9"/>
  <c r="D90" i="9"/>
  <c r="D89" i="9"/>
  <c r="D88" i="9"/>
  <c r="D87" i="9"/>
  <c r="D86" i="9"/>
  <c r="D85" i="9"/>
  <c r="D84" i="9"/>
  <c r="D83" i="9"/>
  <c r="D82" i="9"/>
  <c r="D81" i="9"/>
  <c r="D79" i="9"/>
  <c r="D78" i="9"/>
  <c r="D77" i="9"/>
  <c r="D75" i="9"/>
  <c r="D71" i="9"/>
  <c r="D70" i="9"/>
  <c r="D69" i="9"/>
  <c r="D68" i="9"/>
  <c r="D67" i="9"/>
  <c r="D66" i="9"/>
  <c r="D65" i="9"/>
  <c r="D64" i="9"/>
  <c r="D63" i="9"/>
  <c r="D62" i="9"/>
  <c r="D61" i="9"/>
  <c r="D60" i="9"/>
  <c r="D58" i="9"/>
  <c r="D57" i="9"/>
  <c r="D56" i="9"/>
  <c r="D55" i="9"/>
  <c r="D54" i="9"/>
  <c r="D50" i="9"/>
  <c r="D49" i="9"/>
  <c r="D48" i="9"/>
  <c r="D47" i="9"/>
  <c r="D46" i="9"/>
  <c r="D45" i="9"/>
  <c r="D44" i="9"/>
  <c r="D43" i="9"/>
  <c r="D42" i="9"/>
  <c r="D41" i="9"/>
  <c r="D40" i="9"/>
  <c r="D39" i="9"/>
  <c r="D38" i="9"/>
  <c r="D37" i="9"/>
  <c r="D36" i="9"/>
  <c r="D35" i="9"/>
  <c r="D34" i="9"/>
  <c r="D33" i="9"/>
  <c r="D29" i="9"/>
  <c r="D27" i="9"/>
  <c r="D26" i="9"/>
  <c r="D25" i="9"/>
  <c r="D21" i="9"/>
  <c r="D20" i="9"/>
  <c r="L19" i="10"/>
  <c r="N19" i="10"/>
  <c r="O19" i="10"/>
  <c r="L20" i="10"/>
  <c r="N20" i="10"/>
  <c r="O20" i="10"/>
  <c r="L21" i="10"/>
  <c r="N21" i="10"/>
  <c r="O21" i="10"/>
  <c r="L22" i="10"/>
  <c r="N22" i="10"/>
  <c r="O22" i="10"/>
  <c r="L23" i="10"/>
  <c r="N23" i="10"/>
  <c r="O23" i="10"/>
  <c r="L24" i="10"/>
  <c r="N24" i="10"/>
  <c r="O24" i="10"/>
  <c r="L25" i="10"/>
  <c r="N25" i="10"/>
  <c r="O25" i="10"/>
  <c r="L26" i="10"/>
  <c r="N26" i="10"/>
  <c r="O26" i="10"/>
  <c r="L27" i="10"/>
  <c r="N27" i="10"/>
  <c r="O27" i="10"/>
  <c r="L28" i="10"/>
  <c r="N28" i="10"/>
  <c r="O28" i="10"/>
  <c r="L29" i="10"/>
  <c r="N29" i="10"/>
  <c r="O29" i="10"/>
  <c r="L30" i="10"/>
  <c r="N30" i="10"/>
  <c r="O30" i="10"/>
  <c r="L31" i="10"/>
  <c r="N31" i="10"/>
  <c r="O31" i="10"/>
  <c r="L32" i="10"/>
  <c r="N32" i="10"/>
  <c r="O32" i="10"/>
  <c r="L33" i="10"/>
  <c r="N33" i="10"/>
  <c r="O33" i="10"/>
  <c r="L34" i="10"/>
  <c r="N34" i="10"/>
  <c r="O34" i="10"/>
  <c r="L35" i="10"/>
  <c r="N35" i="10"/>
  <c r="O35" i="10"/>
  <c r="L36" i="10"/>
  <c r="N36" i="10"/>
  <c r="O36" i="10"/>
  <c r="L37" i="10"/>
  <c r="N37" i="10"/>
  <c r="O37" i="10"/>
  <c r="L38" i="10"/>
  <c r="N38" i="10"/>
  <c r="O38" i="10"/>
  <c r="L39" i="10"/>
  <c r="N39" i="10"/>
  <c r="O39" i="10"/>
  <c r="L40" i="10"/>
  <c r="N40" i="10"/>
  <c r="O40" i="10"/>
  <c r="L41" i="10"/>
  <c r="N41" i="10"/>
  <c r="O41" i="10"/>
  <c r="L42" i="10"/>
  <c r="N42" i="10"/>
  <c r="O42" i="10"/>
  <c r="L43" i="10"/>
  <c r="N43" i="10"/>
  <c r="O43" i="10"/>
  <c r="L44" i="10"/>
  <c r="N44" i="10"/>
  <c r="O44" i="10"/>
  <c r="L45" i="10"/>
  <c r="N45" i="10"/>
  <c r="O45" i="10"/>
  <c r="L46" i="10"/>
  <c r="N46" i="10"/>
  <c r="O46" i="10"/>
  <c r="L47" i="10"/>
  <c r="N47" i="10"/>
  <c r="O47" i="10"/>
  <c r="L48" i="10"/>
  <c r="N48" i="10"/>
  <c r="O48" i="10"/>
  <c r="L49" i="10"/>
  <c r="N49" i="10"/>
  <c r="O49" i="10"/>
  <c r="L50" i="10"/>
  <c r="N50" i="10"/>
  <c r="O50" i="10"/>
  <c r="L51" i="10"/>
  <c r="N51" i="10"/>
  <c r="O51" i="10"/>
  <c r="L52" i="10"/>
  <c r="N52" i="10"/>
  <c r="O52" i="10"/>
  <c r="L53" i="10"/>
  <c r="N53" i="10"/>
  <c r="O53" i="10"/>
  <c r="L54" i="10"/>
  <c r="N54" i="10"/>
  <c r="O54" i="10"/>
  <c r="L55" i="10"/>
  <c r="N55" i="10"/>
  <c r="O55" i="10"/>
  <c r="L56" i="10"/>
  <c r="N56" i="10"/>
  <c r="O56" i="10"/>
  <c r="L57" i="10"/>
  <c r="N57" i="10"/>
  <c r="O57" i="10"/>
  <c r="L58" i="10"/>
  <c r="N58" i="10"/>
  <c r="O58" i="10"/>
  <c r="L59" i="10"/>
  <c r="N59" i="10"/>
  <c r="O59" i="10"/>
  <c r="L60" i="10"/>
  <c r="N60" i="10"/>
  <c r="O60" i="10"/>
  <c r="L61" i="10"/>
  <c r="N61" i="10"/>
  <c r="O61" i="10"/>
  <c r="L62" i="10"/>
  <c r="N62" i="10"/>
  <c r="O62" i="10"/>
  <c r="L63" i="10"/>
  <c r="N63" i="10"/>
  <c r="O63" i="10"/>
  <c r="L64" i="10"/>
  <c r="N64" i="10"/>
  <c r="O64" i="10"/>
  <c r="L65" i="10"/>
  <c r="N65" i="10"/>
  <c r="O65" i="10"/>
  <c r="L66" i="10"/>
  <c r="N66" i="10"/>
  <c r="O66" i="10"/>
  <c r="L67" i="10"/>
  <c r="N67" i="10"/>
  <c r="O67" i="10"/>
  <c r="L68" i="10"/>
  <c r="N68" i="10"/>
  <c r="O68" i="10"/>
  <c r="L69" i="10"/>
  <c r="N69" i="10"/>
  <c r="O69" i="10"/>
  <c r="L70" i="10"/>
  <c r="N70" i="10"/>
  <c r="O70" i="10"/>
  <c r="L71" i="10"/>
  <c r="N71" i="10"/>
  <c r="O71" i="10"/>
  <c r="L72" i="10"/>
  <c r="N72" i="10"/>
  <c r="O72" i="10"/>
  <c r="L73" i="10"/>
  <c r="N73" i="10"/>
  <c r="O73" i="10"/>
  <c r="L74" i="10"/>
  <c r="N74" i="10"/>
  <c r="O74" i="10"/>
  <c r="L75" i="10"/>
  <c r="N75" i="10"/>
  <c r="O75" i="10"/>
  <c r="L76" i="10"/>
  <c r="N76" i="10"/>
  <c r="O76" i="10"/>
  <c r="L77" i="10"/>
  <c r="N77" i="10"/>
  <c r="O77" i="10"/>
  <c r="L78" i="10"/>
  <c r="N78" i="10"/>
  <c r="O78" i="10"/>
  <c r="L79" i="10"/>
  <c r="N79" i="10"/>
  <c r="O79" i="10"/>
  <c r="L80" i="10"/>
  <c r="N80" i="10"/>
  <c r="O80" i="10"/>
  <c r="L81" i="10"/>
  <c r="N81" i="10"/>
  <c r="O81" i="10"/>
  <c r="L82" i="10"/>
  <c r="N82" i="10"/>
  <c r="O82" i="10"/>
  <c r="L83" i="10"/>
  <c r="N83" i="10"/>
  <c r="O83" i="10"/>
  <c r="L84" i="10"/>
  <c r="N84" i="10"/>
  <c r="O84" i="10"/>
  <c r="L85" i="10"/>
  <c r="N85" i="10"/>
  <c r="O85" i="10"/>
  <c r="L86" i="10"/>
  <c r="N86" i="10"/>
  <c r="O86" i="10"/>
  <c r="L87" i="10"/>
  <c r="N87" i="10"/>
  <c r="O87" i="10"/>
  <c r="L88" i="10"/>
  <c r="N88" i="10"/>
  <c r="O88" i="10"/>
  <c r="L89" i="10"/>
  <c r="N89" i="10"/>
  <c r="O89" i="10"/>
  <c r="L90" i="10"/>
  <c r="N90" i="10"/>
  <c r="O90" i="10"/>
  <c r="L91" i="10"/>
  <c r="N91" i="10"/>
  <c r="O91" i="10"/>
  <c r="L92" i="10"/>
  <c r="N92" i="10"/>
  <c r="O92" i="10"/>
  <c r="L93" i="10"/>
  <c r="N93" i="10"/>
  <c r="O93" i="10"/>
  <c r="L94" i="10"/>
  <c r="N94" i="10"/>
  <c r="O94" i="10"/>
  <c r="L95" i="10"/>
  <c r="N95" i="10"/>
  <c r="O95" i="10"/>
  <c r="L96" i="10"/>
  <c r="N96" i="10"/>
  <c r="O96" i="10"/>
  <c r="L97" i="10"/>
  <c r="N97" i="10"/>
  <c r="O97" i="10"/>
  <c r="L98" i="10"/>
  <c r="N98" i="10"/>
  <c r="O98" i="10"/>
  <c r="L99" i="10"/>
  <c r="N99" i="10"/>
  <c r="O99" i="10"/>
  <c r="L100" i="10"/>
  <c r="N100" i="10"/>
  <c r="O100" i="10"/>
  <c r="L101" i="10"/>
  <c r="N101" i="10"/>
  <c r="O101" i="10"/>
  <c r="L102" i="10"/>
  <c r="N102" i="10"/>
  <c r="O102" i="10"/>
  <c r="L103" i="10"/>
  <c r="N103" i="10"/>
  <c r="O103" i="10"/>
  <c r="V103" i="11"/>
  <c r="V102" i="11"/>
  <c r="V101" i="11"/>
  <c r="V100" i="11"/>
  <c r="V99" i="11"/>
  <c r="V98" i="11"/>
  <c r="V97" i="11"/>
  <c r="V96" i="11"/>
  <c r="V95" i="11"/>
  <c r="V94" i="11"/>
  <c r="V93" i="11"/>
  <c r="V92" i="11"/>
  <c r="V91" i="11"/>
  <c r="V90" i="11"/>
  <c r="V89" i="11"/>
  <c r="V88" i="11"/>
  <c r="V87" i="11"/>
  <c r="V86" i="11"/>
  <c r="V85" i="11"/>
  <c r="V84" i="11"/>
  <c r="V83" i="11"/>
  <c r="V82" i="11"/>
  <c r="V81" i="11"/>
  <c r="V80" i="11"/>
  <c r="V79" i="11"/>
  <c r="V78" i="11"/>
  <c r="V77" i="11"/>
  <c r="V76" i="11"/>
  <c r="V75" i="11"/>
  <c r="V74" i="11"/>
  <c r="V73" i="11"/>
  <c r="V72" i="11"/>
  <c r="V71" i="11"/>
  <c r="V70" i="11"/>
  <c r="V69" i="11"/>
  <c r="V68" i="11"/>
  <c r="V67" i="11"/>
  <c r="V66" i="11"/>
  <c r="V65" i="11"/>
  <c r="V64" i="11"/>
  <c r="V63" i="11"/>
  <c r="V62" i="11"/>
  <c r="V61" i="11"/>
  <c r="V60" i="11"/>
  <c r="V59" i="11"/>
  <c r="V58" i="11"/>
  <c r="V57" i="11"/>
  <c r="V56" i="11"/>
  <c r="V55" i="11"/>
  <c r="V54" i="11"/>
  <c r="V53" i="11"/>
  <c r="V52" i="11"/>
  <c r="V51" i="11"/>
  <c r="V50" i="11"/>
  <c r="V49" i="11"/>
  <c r="V48" i="11"/>
  <c r="V47" i="11"/>
  <c r="V46" i="11"/>
  <c r="V45" i="11"/>
  <c r="V44" i="11"/>
  <c r="V43" i="11"/>
  <c r="V42" i="11"/>
  <c r="V41" i="11"/>
  <c r="V40" i="11"/>
  <c r="V39" i="11"/>
  <c r="V38" i="11"/>
  <c r="V37" i="11"/>
  <c r="V36" i="11"/>
  <c r="V35" i="11"/>
  <c r="V34" i="11"/>
  <c r="V33" i="11"/>
  <c r="V32" i="11"/>
  <c r="V31" i="11"/>
  <c r="V30" i="11"/>
  <c r="V29" i="11"/>
  <c r="V28" i="11"/>
  <c r="V27" i="11"/>
  <c r="V26" i="11"/>
  <c r="V25" i="11"/>
  <c r="V24" i="11"/>
  <c r="V23" i="11"/>
  <c r="V22" i="11"/>
  <c r="V21" i="11"/>
  <c r="V20" i="11"/>
  <c r="V19" i="11"/>
  <c r="D101" i="11"/>
  <c r="D100" i="11"/>
  <c r="D99" i="11"/>
  <c r="D98" i="11"/>
  <c r="D97" i="11"/>
  <c r="D96" i="11"/>
  <c r="D95" i="11"/>
  <c r="D94" i="11"/>
  <c r="D93" i="11"/>
  <c r="D92" i="11"/>
  <c r="D91" i="11"/>
  <c r="D90" i="11"/>
  <c r="D89" i="11"/>
  <c r="D88" i="11"/>
  <c r="D87" i="11"/>
  <c r="D86" i="11"/>
  <c r="D85" i="11"/>
  <c r="D84" i="11"/>
  <c r="D83" i="11"/>
  <c r="D82" i="11"/>
  <c r="D81" i="11"/>
  <c r="D79" i="11"/>
  <c r="D78" i="11"/>
  <c r="D77" i="11"/>
  <c r="D75" i="11"/>
  <c r="D71" i="11"/>
  <c r="D70" i="11"/>
  <c r="D69" i="11"/>
  <c r="D68" i="11"/>
  <c r="D67" i="11"/>
  <c r="D66" i="11"/>
  <c r="D65" i="11"/>
  <c r="D64" i="11"/>
  <c r="D63" i="11"/>
  <c r="D62" i="11"/>
  <c r="D61" i="11"/>
  <c r="D60" i="11"/>
  <c r="D58" i="11"/>
  <c r="D57" i="11"/>
  <c r="D56" i="11"/>
  <c r="D55" i="11"/>
  <c r="D54" i="11"/>
  <c r="D50" i="11"/>
  <c r="D49" i="11"/>
  <c r="D48" i="11"/>
  <c r="D47" i="11"/>
  <c r="D46" i="11"/>
  <c r="D45" i="11"/>
  <c r="D44" i="11"/>
  <c r="D43" i="11"/>
  <c r="D42" i="11"/>
  <c r="D41" i="11"/>
  <c r="D40" i="11"/>
  <c r="D39" i="11"/>
  <c r="D38" i="11"/>
  <c r="D37" i="11"/>
  <c r="D36" i="11"/>
  <c r="D35" i="11"/>
  <c r="D34" i="11"/>
  <c r="D33" i="11"/>
  <c r="D29" i="11"/>
  <c r="D27" i="11"/>
  <c r="D26" i="11"/>
  <c r="D25" i="11"/>
  <c r="D21" i="11"/>
  <c r="D20" i="11"/>
  <c r="L19" i="12"/>
  <c r="N19" i="12"/>
  <c r="O19" i="12"/>
  <c r="L20" i="12"/>
  <c r="N20" i="12"/>
  <c r="O20" i="12"/>
  <c r="L21" i="12"/>
  <c r="N21" i="12"/>
  <c r="O21" i="12"/>
  <c r="L22" i="12"/>
  <c r="N22" i="12"/>
  <c r="O22" i="12"/>
  <c r="L23" i="12"/>
  <c r="N23" i="12"/>
  <c r="O23" i="12"/>
  <c r="L24" i="12"/>
  <c r="N24" i="12"/>
  <c r="O24" i="12"/>
  <c r="L25" i="12"/>
  <c r="N25" i="12"/>
  <c r="O25" i="12"/>
  <c r="L26" i="12"/>
  <c r="N26" i="12"/>
  <c r="O26" i="12"/>
  <c r="L27" i="12"/>
  <c r="N27" i="12"/>
  <c r="O27" i="12"/>
  <c r="L28" i="12"/>
  <c r="N28" i="12"/>
  <c r="O28" i="12"/>
  <c r="L29" i="12"/>
  <c r="N29" i="12"/>
  <c r="O29" i="12"/>
  <c r="L30" i="12"/>
  <c r="N30" i="12"/>
  <c r="O30" i="12"/>
  <c r="L31" i="12"/>
  <c r="N31" i="12"/>
  <c r="O31" i="12"/>
  <c r="L32" i="12"/>
  <c r="N32" i="12"/>
  <c r="O32" i="12"/>
  <c r="L33" i="12"/>
  <c r="N33" i="12"/>
  <c r="O33" i="12"/>
  <c r="L34" i="12"/>
  <c r="N34" i="12"/>
  <c r="O34" i="12"/>
  <c r="L35" i="12"/>
  <c r="N35" i="12"/>
  <c r="O35" i="12"/>
  <c r="L36" i="12"/>
  <c r="N36" i="12"/>
  <c r="O36" i="12"/>
  <c r="L37" i="12"/>
  <c r="N37" i="12"/>
  <c r="O37" i="12"/>
  <c r="L38" i="12"/>
  <c r="N38" i="12"/>
  <c r="O38" i="12"/>
  <c r="L39" i="12"/>
  <c r="N39" i="12"/>
  <c r="O39" i="12"/>
  <c r="L40" i="12"/>
  <c r="N40" i="12"/>
  <c r="O40" i="12"/>
  <c r="L41" i="12"/>
  <c r="N41" i="12"/>
  <c r="O41" i="12"/>
  <c r="L42" i="12"/>
  <c r="N42" i="12"/>
  <c r="O42" i="12"/>
  <c r="L43" i="12"/>
  <c r="N43" i="12"/>
  <c r="O43" i="12"/>
  <c r="L44" i="12"/>
  <c r="N44" i="12"/>
  <c r="O44" i="12"/>
  <c r="L45" i="12"/>
  <c r="N45" i="12"/>
  <c r="O45" i="12"/>
  <c r="L46" i="12"/>
  <c r="N46" i="12"/>
  <c r="O46" i="12"/>
  <c r="L47" i="12"/>
  <c r="N47" i="12"/>
  <c r="O47" i="12"/>
  <c r="L48" i="12"/>
  <c r="N48" i="12"/>
  <c r="O48" i="12"/>
  <c r="L49" i="12"/>
  <c r="N49" i="12"/>
  <c r="O49" i="12"/>
  <c r="L50" i="12"/>
  <c r="N50" i="12"/>
  <c r="O50" i="12"/>
  <c r="L51" i="12"/>
  <c r="N51" i="12"/>
  <c r="O51" i="12"/>
  <c r="L52" i="12"/>
  <c r="N52" i="12"/>
  <c r="O52" i="12"/>
  <c r="L53" i="12"/>
  <c r="N53" i="12"/>
  <c r="O53" i="12"/>
  <c r="L54" i="12"/>
  <c r="N54" i="12"/>
  <c r="O54" i="12"/>
  <c r="L55" i="12"/>
  <c r="N55" i="12"/>
  <c r="O55" i="12"/>
  <c r="L56" i="12"/>
  <c r="N56" i="12"/>
  <c r="O56" i="12"/>
  <c r="L57" i="12"/>
  <c r="N57" i="12"/>
  <c r="O57" i="12"/>
  <c r="L58" i="12"/>
  <c r="N58" i="12"/>
  <c r="O58" i="12"/>
  <c r="L59" i="12"/>
  <c r="N59" i="12"/>
  <c r="O59" i="12"/>
  <c r="L60" i="12"/>
  <c r="N60" i="12"/>
  <c r="O60" i="12"/>
  <c r="L61" i="12"/>
  <c r="N61" i="12"/>
  <c r="O61" i="12"/>
  <c r="L62" i="12"/>
  <c r="N62" i="12"/>
  <c r="O62" i="12"/>
  <c r="L63" i="12"/>
  <c r="N63" i="12"/>
  <c r="O63" i="12"/>
  <c r="L64" i="12"/>
  <c r="N64" i="12"/>
  <c r="O64" i="12"/>
  <c r="L65" i="12"/>
  <c r="N65" i="12"/>
  <c r="O65" i="12"/>
  <c r="L66" i="12"/>
  <c r="N66" i="12"/>
  <c r="O66" i="12"/>
  <c r="L67" i="12"/>
  <c r="N67" i="12"/>
  <c r="O67" i="12"/>
  <c r="L68" i="12"/>
  <c r="N68" i="12"/>
  <c r="O68" i="12"/>
  <c r="L69" i="12"/>
  <c r="N69" i="12"/>
  <c r="O69" i="12"/>
  <c r="L70" i="12"/>
  <c r="N70" i="12"/>
  <c r="O70" i="12"/>
  <c r="L71" i="12"/>
  <c r="N71" i="12"/>
  <c r="O71" i="12"/>
  <c r="L72" i="12"/>
  <c r="N72" i="12"/>
  <c r="O72" i="12"/>
  <c r="L73" i="12"/>
  <c r="N73" i="12"/>
  <c r="O73" i="12"/>
  <c r="L74" i="12"/>
  <c r="N74" i="12"/>
  <c r="O74" i="12"/>
  <c r="L75" i="12"/>
  <c r="N75" i="12"/>
  <c r="O75" i="12"/>
  <c r="L76" i="12"/>
  <c r="N76" i="12"/>
  <c r="O76" i="12"/>
  <c r="L77" i="12"/>
  <c r="N77" i="12"/>
  <c r="O77" i="12"/>
  <c r="L78" i="12"/>
  <c r="N78" i="12"/>
  <c r="O78" i="12"/>
  <c r="L79" i="12"/>
  <c r="N79" i="12"/>
  <c r="O79" i="12"/>
  <c r="L80" i="12"/>
  <c r="N80" i="12"/>
  <c r="O80" i="12"/>
  <c r="L81" i="12"/>
  <c r="N81" i="12"/>
  <c r="O81" i="12"/>
  <c r="L82" i="12"/>
  <c r="N82" i="12"/>
  <c r="O82" i="12"/>
  <c r="L83" i="12"/>
  <c r="N83" i="12"/>
  <c r="O83" i="12"/>
  <c r="L84" i="12"/>
  <c r="N84" i="12"/>
  <c r="O84" i="12"/>
  <c r="L85" i="12"/>
  <c r="N85" i="12"/>
  <c r="O85" i="12"/>
  <c r="L86" i="12"/>
  <c r="N86" i="12"/>
  <c r="O86" i="12"/>
  <c r="L87" i="12"/>
  <c r="N87" i="12"/>
  <c r="O87" i="12"/>
  <c r="L88" i="12"/>
  <c r="N88" i="12"/>
  <c r="O88" i="12"/>
  <c r="L89" i="12"/>
  <c r="N89" i="12"/>
  <c r="O89" i="12"/>
  <c r="L90" i="12"/>
  <c r="N90" i="12"/>
  <c r="O90" i="12"/>
  <c r="L91" i="12"/>
  <c r="N91" i="12"/>
  <c r="O91" i="12"/>
  <c r="L92" i="12"/>
  <c r="N92" i="12"/>
  <c r="O92" i="12"/>
  <c r="L93" i="12"/>
  <c r="N93" i="12"/>
  <c r="O93" i="12"/>
  <c r="L94" i="12"/>
  <c r="N94" i="12"/>
  <c r="O94" i="12"/>
  <c r="L95" i="12"/>
  <c r="N95" i="12"/>
  <c r="O95" i="12"/>
  <c r="L96" i="12"/>
  <c r="N96" i="12"/>
  <c r="O96" i="12"/>
  <c r="L97" i="12"/>
  <c r="N97" i="12"/>
  <c r="O97" i="12"/>
  <c r="L98" i="12"/>
  <c r="N98" i="12"/>
  <c r="O98" i="12"/>
  <c r="L99" i="12"/>
  <c r="N99" i="12"/>
  <c r="O99" i="12"/>
  <c r="L100" i="12"/>
  <c r="N100" i="12"/>
  <c r="O100" i="12"/>
  <c r="L101" i="12"/>
  <c r="N101" i="12"/>
  <c r="O101" i="12"/>
  <c r="L102" i="12"/>
  <c r="N102" i="12"/>
  <c r="O102" i="12"/>
  <c r="L103" i="12"/>
  <c r="N103" i="12"/>
  <c r="O103" i="12"/>
  <c r="V103" i="13"/>
  <c r="V102" i="13"/>
  <c r="V101" i="13"/>
  <c r="V100" i="13"/>
  <c r="V99" i="13"/>
  <c r="V98" i="13"/>
  <c r="V97" i="13"/>
  <c r="V96" i="13"/>
  <c r="V95" i="13"/>
  <c r="V94" i="13"/>
  <c r="V93" i="13"/>
  <c r="V92" i="13"/>
  <c r="V91" i="13"/>
  <c r="V90" i="13"/>
  <c r="V89" i="13"/>
  <c r="V88" i="13"/>
  <c r="V87" i="13"/>
  <c r="V86" i="13"/>
  <c r="V85" i="13"/>
  <c r="V84" i="13"/>
  <c r="V83" i="13"/>
  <c r="V82" i="13"/>
  <c r="V81" i="13"/>
  <c r="V80" i="13"/>
  <c r="V79" i="13"/>
  <c r="V78" i="13"/>
  <c r="V77" i="13"/>
  <c r="V76" i="13"/>
  <c r="V75" i="13"/>
  <c r="V74" i="13"/>
  <c r="V73" i="13"/>
  <c r="V72" i="13"/>
  <c r="V71" i="13"/>
  <c r="V70" i="13"/>
  <c r="V69" i="13"/>
  <c r="V68" i="13"/>
  <c r="V67" i="13"/>
  <c r="V66" i="13"/>
  <c r="V65" i="13"/>
  <c r="V64" i="13"/>
  <c r="V63" i="13"/>
  <c r="V62" i="13"/>
  <c r="V61" i="13"/>
  <c r="V60" i="13"/>
  <c r="V59" i="13"/>
  <c r="V58" i="13"/>
  <c r="V57" i="13"/>
  <c r="V56" i="13"/>
  <c r="V55" i="13"/>
  <c r="V54" i="13"/>
  <c r="V53" i="13"/>
  <c r="V52" i="13"/>
  <c r="V51" i="13"/>
  <c r="V50" i="13"/>
  <c r="V49" i="13"/>
  <c r="V48" i="13"/>
  <c r="V47" i="13"/>
  <c r="V46" i="13"/>
  <c r="V45" i="13"/>
  <c r="V44" i="13"/>
  <c r="V43" i="13"/>
  <c r="V42" i="13"/>
  <c r="V41" i="13"/>
  <c r="V40" i="13"/>
  <c r="V39" i="13"/>
  <c r="V38" i="13"/>
  <c r="V37" i="13"/>
  <c r="V36" i="13"/>
  <c r="V35" i="13"/>
  <c r="V34" i="13"/>
  <c r="V33" i="13"/>
  <c r="V32" i="13"/>
  <c r="V31" i="13"/>
  <c r="V30" i="13"/>
  <c r="V29" i="13"/>
  <c r="V28" i="13"/>
  <c r="V27" i="13"/>
  <c r="V26" i="13"/>
  <c r="V25" i="13"/>
  <c r="V24" i="13"/>
  <c r="V23" i="13"/>
  <c r="V22" i="13"/>
  <c r="V21" i="13"/>
  <c r="V20" i="13"/>
  <c r="V19" i="13"/>
  <c r="D80" i="11"/>
  <c r="D80" i="9"/>
  <c r="D19" i="11"/>
  <c r="D19" i="9"/>
  <c r="D102" i="11"/>
  <c r="D22" i="11"/>
  <c r="D102" i="9"/>
  <c r="D22" i="9"/>
  <c r="D23" i="11"/>
  <c r="D23" i="9"/>
  <c r="D24" i="11"/>
  <c r="D24" i="9"/>
  <c r="D28" i="11"/>
  <c r="D28" i="9"/>
  <c r="D30" i="11"/>
  <c r="D30" i="9"/>
  <c r="D31" i="11"/>
  <c r="D31" i="9"/>
  <c r="D32" i="11"/>
  <c r="D32" i="9"/>
  <c r="D51" i="11"/>
  <c r="D51" i="9"/>
  <c r="D52" i="11"/>
  <c r="D52" i="9"/>
  <c r="D53" i="11"/>
  <c r="D53" i="9"/>
  <c r="D59" i="11"/>
  <c r="D59" i="9"/>
  <c r="D72" i="11"/>
  <c r="D72" i="9"/>
  <c r="D73" i="11"/>
  <c r="D73" i="9"/>
  <c r="D74" i="11"/>
  <c r="D74" i="9"/>
  <c r="D76" i="11"/>
  <c r="D76" i="9"/>
  <c r="D103" i="11"/>
  <c r="D103"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AC34" i="9"/>
  <c r="AC33" i="9"/>
  <c r="AC32" i="9"/>
  <c r="AC31" i="9"/>
  <c r="AC30" i="9"/>
  <c r="AC29" i="9"/>
  <c r="AC28" i="9"/>
  <c r="AC27" i="9"/>
  <c r="AC26" i="9"/>
  <c r="AC25" i="9"/>
  <c r="AC24" i="9"/>
  <c r="AC23" i="9"/>
  <c r="AC22" i="9"/>
  <c r="AC21" i="9"/>
  <c r="AC20" i="9"/>
  <c r="AC19" i="9"/>
  <c r="AC103" i="11"/>
  <c r="AC102" i="11"/>
  <c r="AC101" i="11"/>
  <c r="AC100" i="11"/>
  <c r="AC99" i="11"/>
  <c r="AC98" i="11"/>
  <c r="AC97" i="11"/>
  <c r="AC96" i="11"/>
  <c r="AC95" i="11"/>
  <c r="AC94" i="11"/>
  <c r="AC93" i="11"/>
  <c r="AC92" i="11"/>
  <c r="AC91" i="11"/>
  <c r="AC90" i="11"/>
  <c r="AC89" i="11"/>
  <c r="AC88" i="11"/>
  <c r="AC87" i="11"/>
  <c r="AC86" i="11"/>
  <c r="AC85" i="11"/>
  <c r="AC84" i="11"/>
  <c r="AC83" i="11"/>
  <c r="AC82" i="11"/>
  <c r="AC81" i="11"/>
  <c r="AC80" i="11"/>
  <c r="AC79" i="11"/>
  <c r="AC78" i="11"/>
  <c r="AC77" i="11"/>
  <c r="AC76" i="11"/>
  <c r="AC75" i="11"/>
  <c r="AC74" i="11"/>
  <c r="AC73" i="11"/>
  <c r="AC72" i="11"/>
  <c r="AC71" i="11"/>
  <c r="AC70" i="11"/>
  <c r="AC69" i="11"/>
  <c r="AC68" i="11"/>
  <c r="AC67" i="11"/>
  <c r="AC66" i="11"/>
  <c r="AC65" i="11"/>
  <c r="AC64" i="11"/>
  <c r="AC63" i="11"/>
  <c r="AC62" i="11"/>
  <c r="AC61" i="11"/>
  <c r="AC60" i="11"/>
  <c r="AC59" i="11"/>
  <c r="AC58" i="11"/>
  <c r="AC57" i="11"/>
  <c r="AC56" i="11"/>
  <c r="AC55" i="11"/>
  <c r="AC54" i="11"/>
  <c r="AC53" i="11"/>
  <c r="AC52" i="11"/>
  <c r="AC51" i="11"/>
  <c r="AC50" i="11"/>
  <c r="AC49" i="11"/>
  <c r="AC48" i="11"/>
  <c r="AC47" i="11"/>
  <c r="AC46" i="11"/>
  <c r="AC45" i="11"/>
  <c r="AC44" i="11"/>
  <c r="AC43" i="11"/>
  <c r="AC42" i="11"/>
  <c r="AC41" i="11"/>
  <c r="AC40" i="11"/>
  <c r="AC39" i="11"/>
  <c r="AC38" i="11"/>
  <c r="AC37" i="11"/>
  <c r="AC36" i="11"/>
  <c r="AC35" i="11"/>
  <c r="AC34" i="11"/>
  <c r="AC33" i="11"/>
  <c r="AC32" i="11"/>
  <c r="AC31" i="11"/>
  <c r="AC30" i="11"/>
  <c r="AC29" i="11"/>
  <c r="AC28" i="11"/>
  <c r="AC27" i="11"/>
  <c r="AC26" i="11"/>
  <c r="AC25" i="11"/>
  <c r="AC24" i="11"/>
  <c r="AC23" i="11"/>
  <c r="AC22" i="11"/>
  <c r="AC21" i="11"/>
  <c r="AC20" i="11"/>
  <c r="AC19" i="11"/>
  <c r="AC103" i="13"/>
  <c r="AC102" i="13"/>
  <c r="AC101" i="13"/>
  <c r="AC100" i="13"/>
  <c r="AC99" i="13"/>
  <c r="AC98" i="13"/>
  <c r="AC97" i="13"/>
  <c r="AC96" i="13"/>
  <c r="AC95" i="13"/>
  <c r="AC94" i="13"/>
  <c r="AC93" i="13"/>
  <c r="AC92" i="13"/>
  <c r="AC91" i="13"/>
  <c r="AC90" i="13"/>
  <c r="AC89" i="13"/>
  <c r="AC88" i="13"/>
  <c r="AC87" i="13"/>
  <c r="AC86" i="13"/>
  <c r="AC85" i="13"/>
  <c r="AC84" i="13"/>
  <c r="AC83" i="13"/>
  <c r="AC82" i="13"/>
  <c r="AC81" i="13"/>
  <c r="AC80" i="13"/>
  <c r="AC79" i="13"/>
  <c r="AC78" i="13"/>
  <c r="AC77" i="13"/>
  <c r="AC76" i="13"/>
  <c r="AC75" i="13"/>
  <c r="AC74" i="13"/>
  <c r="AC73" i="13"/>
  <c r="AC72" i="13"/>
  <c r="AC71" i="13"/>
  <c r="AC70" i="13"/>
  <c r="AC69" i="13"/>
  <c r="AC68" i="13"/>
  <c r="AC67" i="13"/>
  <c r="AC66" i="13"/>
  <c r="AC65" i="13"/>
  <c r="AC64" i="13"/>
  <c r="AC63" i="13"/>
  <c r="AC62" i="13"/>
  <c r="AC61" i="13"/>
  <c r="AC60" i="13"/>
  <c r="AC59" i="13"/>
  <c r="AC58" i="13"/>
  <c r="AC57" i="13"/>
  <c r="AC56" i="13"/>
  <c r="AC55" i="13"/>
  <c r="AC54" i="13"/>
  <c r="AC53" i="13"/>
  <c r="AC52" i="13"/>
  <c r="AC51" i="13"/>
  <c r="AC50" i="13"/>
  <c r="AC49" i="13"/>
  <c r="AC48" i="13"/>
  <c r="AC47" i="13"/>
  <c r="AC46" i="13"/>
  <c r="AC45" i="13"/>
  <c r="AC44" i="13"/>
  <c r="AC43" i="13"/>
  <c r="AC42" i="13"/>
  <c r="AC41" i="13"/>
  <c r="AC40" i="13"/>
  <c r="AC39" i="13"/>
  <c r="AC38" i="13"/>
  <c r="AC37" i="13"/>
  <c r="AC36" i="13"/>
  <c r="AC35" i="13"/>
  <c r="AC34" i="13"/>
  <c r="AC33" i="13"/>
  <c r="AC32" i="13"/>
  <c r="AC31" i="13"/>
  <c r="AC30" i="13"/>
  <c r="AC29" i="13"/>
  <c r="AC28" i="13"/>
  <c r="AC27" i="13"/>
  <c r="AC26" i="13"/>
  <c r="AC25" i="13"/>
  <c r="AC24" i="13"/>
  <c r="AC23" i="13"/>
  <c r="AC22" i="13"/>
  <c r="AC21" i="13"/>
  <c r="AC20" i="13"/>
  <c r="AC19" i="13"/>
  <c r="I103" i="13"/>
  <c r="J103" i="13"/>
  <c r="K103" i="13"/>
  <c r="I102" i="13"/>
  <c r="J102" i="13"/>
  <c r="K102" i="13"/>
  <c r="I101" i="13"/>
  <c r="J101" i="13"/>
  <c r="K101" i="13"/>
  <c r="I100" i="13"/>
  <c r="J100" i="13"/>
  <c r="K100" i="13"/>
  <c r="I99" i="13"/>
  <c r="J99" i="13"/>
  <c r="K99" i="13"/>
  <c r="I98" i="13"/>
  <c r="J98" i="13"/>
  <c r="K98" i="13"/>
  <c r="I97" i="13"/>
  <c r="J97" i="13"/>
  <c r="K97" i="13"/>
  <c r="I96" i="13"/>
  <c r="J96" i="13"/>
  <c r="K96" i="13"/>
  <c r="I95" i="13"/>
  <c r="J95" i="13"/>
  <c r="K95" i="13"/>
  <c r="I94" i="13"/>
  <c r="J94" i="13"/>
  <c r="K94" i="13"/>
  <c r="I93" i="13"/>
  <c r="J93" i="13"/>
  <c r="K93" i="13"/>
  <c r="I92" i="13"/>
  <c r="J92" i="13"/>
  <c r="K92" i="13"/>
  <c r="I91" i="13"/>
  <c r="J91" i="13"/>
  <c r="K91" i="13"/>
  <c r="I90" i="13"/>
  <c r="J90" i="13"/>
  <c r="K90" i="13"/>
  <c r="I89" i="13"/>
  <c r="J89" i="13"/>
  <c r="K89" i="13"/>
  <c r="I88" i="13"/>
  <c r="J88" i="13"/>
  <c r="K88" i="13"/>
  <c r="I87" i="13"/>
  <c r="J87" i="13"/>
  <c r="K87" i="13"/>
  <c r="I86" i="13"/>
  <c r="J86" i="13"/>
  <c r="K86" i="13"/>
  <c r="I85" i="13"/>
  <c r="J85" i="13"/>
  <c r="K85" i="13"/>
  <c r="I84" i="13"/>
  <c r="J84" i="13"/>
  <c r="K84" i="13"/>
  <c r="I83" i="13"/>
  <c r="J83" i="13"/>
  <c r="K83" i="13"/>
  <c r="I82" i="13"/>
  <c r="J82" i="13"/>
  <c r="K82" i="13"/>
  <c r="I81" i="13"/>
  <c r="J81" i="13"/>
  <c r="K81" i="13"/>
  <c r="I80" i="13"/>
  <c r="J80" i="13"/>
  <c r="K80" i="13"/>
  <c r="I79" i="13"/>
  <c r="J79" i="13"/>
  <c r="K79" i="13"/>
  <c r="I78" i="13"/>
  <c r="J78" i="13"/>
  <c r="K78" i="13"/>
  <c r="I77" i="13"/>
  <c r="J77" i="13"/>
  <c r="K77" i="13"/>
  <c r="I76" i="13"/>
  <c r="J76" i="13"/>
  <c r="K76" i="13"/>
  <c r="I75" i="13"/>
  <c r="J75" i="13"/>
  <c r="K75" i="13"/>
  <c r="I74" i="13"/>
  <c r="J74" i="13"/>
  <c r="K74" i="13"/>
  <c r="I73" i="13"/>
  <c r="J73" i="13"/>
  <c r="K73" i="13"/>
  <c r="I72" i="13"/>
  <c r="J72" i="13"/>
  <c r="K72" i="13"/>
  <c r="I71" i="13"/>
  <c r="J71" i="13"/>
  <c r="K71" i="13"/>
  <c r="I70" i="13"/>
  <c r="J70" i="13"/>
  <c r="K70" i="13"/>
  <c r="I69" i="13"/>
  <c r="J69" i="13"/>
  <c r="K69" i="13"/>
  <c r="I68" i="13"/>
  <c r="J68" i="13"/>
  <c r="K68" i="13"/>
  <c r="I67" i="13"/>
  <c r="J67" i="13"/>
  <c r="K67" i="13"/>
  <c r="I66" i="13"/>
  <c r="J66" i="13"/>
  <c r="K66" i="13"/>
  <c r="I65" i="13"/>
  <c r="J65" i="13"/>
  <c r="K65" i="13"/>
  <c r="I64" i="13"/>
  <c r="J64" i="13"/>
  <c r="K64" i="13"/>
  <c r="I63" i="13"/>
  <c r="J63" i="13"/>
  <c r="K63" i="13"/>
  <c r="I62" i="13"/>
  <c r="J62" i="13"/>
  <c r="K62" i="13"/>
  <c r="I61" i="13"/>
  <c r="J61" i="13"/>
  <c r="K61" i="13"/>
  <c r="I60" i="13"/>
  <c r="J60" i="13"/>
  <c r="K60" i="13"/>
  <c r="I59" i="13"/>
  <c r="J59" i="13"/>
  <c r="K59" i="13"/>
  <c r="I58" i="13"/>
  <c r="J58" i="13"/>
  <c r="K58" i="13"/>
  <c r="I57" i="13"/>
  <c r="J57" i="13"/>
  <c r="K57" i="13"/>
  <c r="I56" i="13"/>
  <c r="J56" i="13"/>
  <c r="K56" i="13"/>
  <c r="I55" i="13"/>
  <c r="J55" i="13"/>
  <c r="K55" i="13"/>
  <c r="I54" i="13"/>
  <c r="J54" i="13"/>
  <c r="K54" i="13"/>
  <c r="I53" i="13"/>
  <c r="J53" i="13"/>
  <c r="K53" i="13"/>
  <c r="I52" i="13"/>
  <c r="J52" i="13"/>
  <c r="K52" i="13"/>
  <c r="I51" i="13"/>
  <c r="J51" i="13"/>
  <c r="K51" i="13"/>
  <c r="I50" i="13"/>
  <c r="J50" i="13"/>
  <c r="K50" i="13"/>
  <c r="I49" i="13"/>
  <c r="J49" i="13"/>
  <c r="K49" i="13"/>
  <c r="I48" i="13"/>
  <c r="J48" i="13"/>
  <c r="K48" i="13"/>
  <c r="I47" i="13"/>
  <c r="J47" i="13"/>
  <c r="K47" i="13"/>
  <c r="I46" i="13"/>
  <c r="J46" i="13"/>
  <c r="K46" i="13"/>
  <c r="I45" i="13"/>
  <c r="J45" i="13"/>
  <c r="K45" i="13"/>
  <c r="I44" i="13"/>
  <c r="J44" i="13"/>
  <c r="K44" i="13"/>
  <c r="I43" i="13"/>
  <c r="J43" i="13"/>
  <c r="K43" i="13"/>
  <c r="I42" i="13"/>
  <c r="J42" i="13"/>
  <c r="K42" i="13"/>
  <c r="I41" i="13"/>
  <c r="J41" i="13"/>
  <c r="K41" i="13"/>
  <c r="I40" i="13"/>
  <c r="J40" i="13"/>
  <c r="K40" i="13"/>
  <c r="I39" i="13"/>
  <c r="J39" i="13"/>
  <c r="K39" i="13"/>
  <c r="I38" i="13"/>
  <c r="J38" i="13"/>
  <c r="K38" i="13"/>
  <c r="I37" i="13"/>
  <c r="J37" i="13"/>
  <c r="K37" i="13"/>
  <c r="I36" i="13"/>
  <c r="J36" i="13"/>
  <c r="K36" i="13"/>
  <c r="I35" i="13"/>
  <c r="J35" i="13"/>
  <c r="K35" i="13"/>
  <c r="I34" i="13"/>
  <c r="J34" i="13"/>
  <c r="K34" i="13"/>
  <c r="I33" i="13"/>
  <c r="J33" i="13"/>
  <c r="K33" i="13"/>
  <c r="I32" i="13"/>
  <c r="J32" i="13"/>
  <c r="K32" i="13"/>
  <c r="I31" i="13"/>
  <c r="J31" i="13"/>
  <c r="K31" i="13"/>
  <c r="I30" i="13"/>
  <c r="J30" i="13"/>
  <c r="K30" i="13"/>
  <c r="I29" i="13"/>
  <c r="J29" i="13"/>
  <c r="K29" i="13"/>
  <c r="I28" i="13"/>
  <c r="J28" i="13"/>
  <c r="K28" i="13"/>
  <c r="I27" i="13"/>
  <c r="J27" i="13"/>
  <c r="K27" i="13"/>
  <c r="I26" i="13"/>
  <c r="J26" i="13"/>
  <c r="K26" i="13"/>
  <c r="I25" i="13"/>
  <c r="J25" i="13"/>
  <c r="K25" i="13"/>
  <c r="I24" i="13"/>
  <c r="J24" i="13"/>
  <c r="K24" i="13"/>
  <c r="I23" i="13"/>
  <c r="J23" i="13"/>
  <c r="K23" i="13"/>
  <c r="I22" i="13"/>
  <c r="J22" i="13"/>
  <c r="K22" i="13"/>
  <c r="I21" i="13"/>
  <c r="J21" i="13"/>
  <c r="K21" i="13"/>
  <c r="I20" i="13"/>
  <c r="J20" i="13"/>
  <c r="K20" i="13"/>
  <c r="I19" i="13"/>
  <c r="J19" i="13"/>
  <c r="K19" i="13"/>
  <c r="I103" i="11"/>
  <c r="J103" i="11"/>
  <c r="K103" i="11"/>
  <c r="I102" i="11"/>
  <c r="J102" i="11"/>
  <c r="K102" i="11"/>
  <c r="I101" i="11"/>
  <c r="J101" i="11"/>
  <c r="K101" i="11"/>
  <c r="I100" i="11"/>
  <c r="J100" i="11"/>
  <c r="K100" i="11"/>
  <c r="I99" i="11"/>
  <c r="J99" i="11"/>
  <c r="K99" i="11"/>
  <c r="I98" i="11"/>
  <c r="J98" i="11"/>
  <c r="K98" i="11"/>
  <c r="I97" i="11"/>
  <c r="J97" i="11"/>
  <c r="K97" i="11"/>
  <c r="I96" i="11"/>
  <c r="J96" i="11"/>
  <c r="K96" i="11"/>
  <c r="I95" i="11"/>
  <c r="J95" i="11"/>
  <c r="K95" i="11"/>
  <c r="I94" i="11"/>
  <c r="J94" i="11"/>
  <c r="K94" i="11"/>
  <c r="I93" i="11"/>
  <c r="J93" i="11"/>
  <c r="K93" i="11"/>
  <c r="I92" i="11"/>
  <c r="J92" i="11"/>
  <c r="K92" i="11"/>
  <c r="I91" i="11"/>
  <c r="J91" i="11"/>
  <c r="K91" i="11"/>
  <c r="I90" i="11"/>
  <c r="J90" i="11"/>
  <c r="K90" i="11"/>
  <c r="I89" i="11"/>
  <c r="J89" i="11"/>
  <c r="K89" i="11"/>
  <c r="I88" i="11"/>
  <c r="J88" i="11"/>
  <c r="K88" i="11"/>
  <c r="I87" i="11"/>
  <c r="J87" i="11"/>
  <c r="K87" i="11"/>
  <c r="I86" i="11"/>
  <c r="J86" i="11"/>
  <c r="K86" i="11"/>
  <c r="I85" i="11"/>
  <c r="J85" i="11"/>
  <c r="K85" i="11"/>
  <c r="I84" i="11"/>
  <c r="J84" i="11"/>
  <c r="K84" i="11"/>
  <c r="I83" i="11"/>
  <c r="J83" i="11"/>
  <c r="K83" i="11"/>
  <c r="I82" i="11"/>
  <c r="J82" i="11"/>
  <c r="K82" i="11"/>
  <c r="I81" i="11"/>
  <c r="J81" i="11"/>
  <c r="K81" i="11"/>
  <c r="I80" i="11"/>
  <c r="J80" i="11"/>
  <c r="K80" i="11"/>
  <c r="I79" i="11"/>
  <c r="J79" i="11"/>
  <c r="K79" i="11"/>
  <c r="I78" i="11"/>
  <c r="J78" i="11"/>
  <c r="K78" i="11"/>
  <c r="I77" i="11"/>
  <c r="J77" i="11"/>
  <c r="K77" i="11"/>
  <c r="I76" i="11"/>
  <c r="J76" i="11"/>
  <c r="K76" i="11"/>
  <c r="I75" i="11"/>
  <c r="J75" i="11"/>
  <c r="K75" i="11"/>
  <c r="I74" i="11"/>
  <c r="J74" i="11"/>
  <c r="K74" i="11"/>
  <c r="I73" i="11"/>
  <c r="J73" i="11"/>
  <c r="K73" i="11"/>
  <c r="I72" i="11"/>
  <c r="J72" i="11"/>
  <c r="K72" i="11"/>
  <c r="I71" i="11"/>
  <c r="J71" i="11"/>
  <c r="K71" i="11"/>
  <c r="I70" i="11"/>
  <c r="J70" i="11"/>
  <c r="K70" i="11"/>
  <c r="I69" i="11"/>
  <c r="J69" i="11"/>
  <c r="K69" i="11"/>
  <c r="I68" i="11"/>
  <c r="J68" i="11"/>
  <c r="K68" i="11"/>
  <c r="I67" i="11"/>
  <c r="J67" i="11"/>
  <c r="K67" i="11"/>
  <c r="I66" i="11"/>
  <c r="J66" i="11"/>
  <c r="K66" i="11"/>
  <c r="I65" i="11"/>
  <c r="J65" i="11"/>
  <c r="K65" i="11"/>
  <c r="I64" i="11"/>
  <c r="J64" i="11"/>
  <c r="K64" i="11"/>
  <c r="I63" i="11"/>
  <c r="J63" i="11"/>
  <c r="K63" i="11"/>
  <c r="I62" i="11"/>
  <c r="J62" i="11"/>
  <c r="K62" i="11"/>
  <c r="I61" i="11"/>
  <c r="J61" i="11"/>
  <c r="K61" i="11"/>
  <c r="I60" i="11"/>
  <c r="J60" i="11"/>
  <c r="K60" i="11"/>
  <c r="I59" i="11"/>
  <c r="J59" i="11"/>
  <c r="K59" i="11"/>
  <c r="I58" i="11"/>
  <c r="J58" i="11"/>
  <c r="K58" i="11"/>
  <c r="I57" i="11"/>
  <c r="J57" i="11"/>
  <c r="K57" i="11"/>
  <c r="I56" i="11"/>
  <c r="J56" i="11"/>
  <c r="K56" i="11"/>
  <c r="I55" i="11"/>
  <c r="J55" i="11"/>
  <c r="K55" i="11"/>
  <c r="I54" i="11"/>
  <c r="J54" i="11"/>
  <c r="K54" i="11"/>
  <c r="I53" i="11"/>
  <c r="J53" i="11"/>
  <c r="K53" i="11"/>
  <c r="I52" i="11"/>
  <c r="J52" i="11"/>
  <c r="K52" i="11"/>
  <c r="I51" i="11"/>
  <c r="J51" i="11"/>
  <c r="K51" i="11"/>
  <c r="I50" i="11"/>
  <c r="J50" i="11"/>
  <c r="K50" i="11"/>
  <c r="I49" i="11"/>
  <c r="J49" i="11"/>
  <c r="K49" i="11"/>
  <c r="I48" i="11"/>
  <c r="J48" i="11"/>
  <c r="K48" i="11"/>
  <c r="I47" i="11"/>
  <c r="J47" i="11"/>
  <c r="K47" i="11"/>
  <c r="I46" i="11"/>
  <c r="J46" i="11"/>
  <c r="K46" i="11"/>
  <c r="I45" i="11"/>
  <c r="J45" i="11"/>
  <c r="K45" i="11"/>
  <c r="I44" i="11"/>
  <c r="J44" i="11"/>
  <c r="K44" i="11"/>
  <c r="I43" i="11"/>
  <c r="J43" i="11"/>
  <c r="K43" i="11"/>
  <c r="I42" i="11"/>
  <c r="J42" i="11"/>
  <c r="K42" i="11"/>
  <c r="I41" i="11"/>
  <c r="J41" i="11"/>
  <c r="K41" i="11"/>
  <c r="I40" i="11"/>
  <c r="J40" i="11"/>
  <c r="K40" i="11"/>
  <c r="I39" i="11"/>
  <c r="J39" i="11"/>
  <c r="K39" i="11"/>
  <c r="I38" i="11"/>
  <c r="J38" i="11"/>
  <c r="K38" i="11"/>
  <c r="I37" i="11"/>
  <c r="J37" i="11"/>
  <c r="K37" i="11"/>
  <c r="I36" i="11"/>
  <c r="J36" i="11"/>
  <c r="K36" i="11"/>
  <c r="I35" i="11"/>
  <c r="J35" i="11"/>
  <c r="K35" i="11"/>
  <c r="I34" i="11"/>
  <c r="J34" i="11"/>
  <c r="K34" i="11"/>
  <c r="I33" i="11"/>
  <c r="J33" i="11"/>
  <c r="K33" i="11"/>
  <c r="I32" i="11"/>
  <c r="J32" i="11"/>
  <c r="K32" i="11"/>
  <c r="I31" i="11"/>
  <c r="J31" i="11"/>
  <c r="K31" i="11"/>
  <c r="I30" i="11"/>
  <c r="J30" i="11"/>
  <c r="K30" i="11"/>
  <c r="I29" i="11"/>
  <c r="J29" i="11"/>
  <c r="K29" i="11"/>
  <c r="I28" i="11"/>
  <c r="J28" i="11"/>
  <c r="K28" i="11"/>
  <c r="I27" i="11"/>
  <c r="J27" i="11"/>
  <c r="K27" i="11"/>
  <c r="I26" i="11"/>
  <c r="J26" i="11"/>
  <c r="K26" i="11"/>
  <c r="I25" i="11"/>
  <c r="J25" i="11"/>
  <c r="K25" i="11"/>
  <c r="I24" i="11"/>
  <c r="J24" i="11"/>
  <c r="K24" i="11"/>
  <c r="I23" i="11"/>
  <c r="J23" i="11"/>
  <c r="K23" i="11"/>
  <c r="I22" i="11"/>
  <c r="J22" i="11"/>
  <c r="K22" i="11"/>
  <c r="I21" i="11"/>
  <c r="J21" i="11"/>
  <c r="K21" i="11"/>
  <c r="I20" i="11"/>
  <c r="J20" i="11"/>
  <c r="K20" i="11"/>
  <c r="I19" i="11"/>
  <c r="J19" i="11"/>
  <c r="K19" i="11"/>
  <c r="E103" i="11"/>
  <c r="E102" i="11"/>
  <c r="E101" i="11"/>
  <c r="E100" i="11"/>
  <c r="E99" i="11"/>
  <c r="E98" i="11"/>
  <c r="E97" i="11"/>
  <c r="E96" i="11"/>
  <c r="E95" i="11"/>
  <c r="E94" i="11"/>
  <c r="E93" i="11"/>
  <c r="E92" i="11"/>
  <c r="E91" i="11"/>
  <c r="E90" i="11"/>
  <c r="E89" i="11"/>
  <c r="E88" i="11"/>
  <c r="E87" i="11"/>
  <c r="E86" i="11"/>
  <c r="E85" i="11"/>
  <c r="E84" i="11"/>
  <c r="E83" i="11"/>
  <c r="E82" i="11"/>
  <c r="E81" i="11"/>
  <c r="E80" i="11"/>
  <c r="E79" i="11"/>
  <c r="E78" i="11"/>
  <c r="E77" i="11"/>
  <c r="E76" i="11"/>
  <c r="E75" i="11"/>
  <c r="E74" i="11"/>
  <c r="E73" i="11"/>
  <c r="E72" i="11"/>
  <c r="E71" i="11"/>
  <c r="E70" i="11"/>
  <c r="E69" i="11"/>
  <c r="E68" i="11"/>
  <c r="E67" i="11"/>
  <c r="E66" i="11"/>
  <c r="E65" i="11"/>
  <c r="E64" i="11"/>
  <c r="E63" i="11"/>
  <c r="E62" i="11"/>
  <c r="E61" i="11"/>
  <c r="E60" i="11"/>
  <c r="E59" i="11"/>
  <c r="E58" i="11"/>
  <c r="E57" i="11"/>
  <c r="E56" i="11"/>
  <c r="E55" i="11"/>
  <c r="E54" i="11"/>
  <c r="E53" i="11"/>
  <c r="E52" i="11"/>
  <c r="E51" i="11"/>
  <c r="E50" i="11"/>
  <c r="E49" i="11"/>
  <c r="E48" i="11"/>
  <c r="E47" i="11"/>
  <c r="E46" i="11"/>
  <c r="E45" i="11"/>
  <c r="E44" i="11"/>
  <c r="E43" i="11"/>
  <c r="E42" i="11"/>
  <c r="E41" i="11"/>
  <c r="E40" i="11"/>
  <c r="E39" i="11"/>
  <c r="E38" i="11"/>
  <c r="E37" i="11"/>
  <c r="E36" i="11"/>
  <c r="E35" i="11"/>
  <c r="E34" i="11"/>
  <c r="E33" i="11"/>
  <c r="E32" i="11"/>
  <c r="E31" i="11"/>
  <c r="E30" i="11"/>
  <c r="E29" i="11"/>
  <c r="E28" i="11"/>
  <c r="E27" i="11"/>
  <c r="E26" i="11"/>
  <c r="E25" i="11"/>
  <c r="E24" i="11"/>
  <c r="E23" i="11"/>
  <c r="E22" i="11"/>
  <c r="E21" i="11"/>
  <c r="E20" i="11"/>
  <c r="E19" i="11"/>
  <c r="I103" i="9"/>
  <c r="J103" i="9"/>
  <c r="K103" i="9"/>
  <c r="I102" i="9"/>
  <c r="J102" i="9"/>
  <c r="K102" i="9"/>
  <c r="I101" i="9"/>
  <c r="J101" i="9"/>
  <c r="K101" i="9"/>
  <c r="I100" i="9"/>
  <c r="J100" i="9"/>
  <c r="K100" i="9"/>
  <c r="I99" i="9"/>
  <c r="J99" i="9"/>
  <c r="K99" i="9"/>
  <c r="I98" i="9"/>
  <c r="J98" i="9"/>
  <c r="K98" i="9"/>
  <c r="I97" i="9"/>
  <c r="J97" i="9"/>
  <c r="K97" i="9"/>
  <c r="I96" i="9"/>
  <c r="J96" i="9"/>
  <c r="K96" i="9"/>
  <c r="I95" i="9"/>
  <c r="J95" i="9"/>
  <c r="K95" i="9"/>
  <c r="I94" i="9"/>
  <c r="J94" i="9"/>
  <c r="K94" i="9"/>
  <c r="I93" i="9"/>
  <c r="J93" i="9"/>
  <c r="K93" i="9"/>
  <c r="I92" i="9"/>
  <c r="J92" i="9"/>
  <c r="K92" i="9"/>
  <c r="I91" i="9"/>
  <c r="J91" i="9"/>
  <c r="K91" i="9"/>
  <c r="I90" i="9"/>
  <c r="J90" i="9"/>
  <c r="K90" i="9"/>
  <c r="I89" i="9"/>
  <c r="J89" i="9"/>
  <c r="K89" i="9"/>
  <c r="I88" i="9"/>
  <c r="J88" i="9"/>
  <c r="K88" i="9"/>
  <c r="I87" i="9"/>
  <c r="J87" i="9"/>
  <c r="K87" i="9"/>
  <c r="I86" i="9"/>
  <c r="J86" i="9"/>
  <c r="K86" i="9"/>
  <c r="I85" i="9"/>
  <c r="J85" i="9"/>
  <c r="K85" i="9"/>
  <c r="I84" i="9"/>
  <c r="J84" i="9"/>
  <c r="K84" i="9"/>
  <c r="I83" i="9"/>
  <c r="J83" i="9"/>
  <c r="K83" i="9"/>
  <c r="I82" i="9"/>
  <c r="J82" i="9"/>
  <c r="K82" i="9"/>
  <c r="I81" i="9"/>
  <c r="J81" i="9"/>
  <c r="K81" i="9"/>
  <c r="I80" i="9"/>
  <c r="J80" i="9"/>
  <c r="K80" i="9"/>
  <c r="I79" i="9"/>
  <c r="J79" i="9"/>
  <c r="K79" i="9"/>
  <c r="I78" i="9"/>
  <c r="J78" i="9"/>
  <c r="K78" i="9"/>
  <c r="I77" i="9"/>
  <c r="J77" i="9"/>
  <c r="K77" i="9"/>
  <c r="I76" i="9"/>
  <c r="J76" i="9"/>
  <c r="K76" i="9"/>
  <c r="I75" i="9"/>
  <c r="J75" i="9"/>
  <c r="K75" i="9"/>
  <c r="I74" i="9"/>
  <c r="J74" i="9"/>
  <c r="K74" i="9"/>
  <c r="I73" i="9"/>
  <c r="J73" i="9"/>
  <c r="K73" i="9"/>
  <c r="I72" i="9"/>
  <c r="J72" i="9"/>
  <c r="K72" i="9"/>
  <c r="I71" i="9"/>
  <c r="J71" i="9"/>
  <c r="K71" i="9"/>
  <c r="I70" i="9"/>
  <c r="J70" i="9"/>
  <c r="K70" i="9"/>
  <c r="I69" i="9"/>
  <c r="J69" i="9"/>
  <c r="K69" i="9"/>
  <c r="I68" i="9"/>
  <c r="J68" i="9"/>
  <c r="K68" i="9"/>
  <c r="I67" i="9"/>
  <c r="J67" i="9"/>
  <c r="K67" i="9"/>
  <c r="I66" i="9"/>
  <c r="J66" i="9"/>
  <c r="K66" i="9"/>
  <c r="I65" i="9"/>
  <c r="J65" i="9"/>
  <c r="K65" i="9"/>
  <c r="I64" i="9"/>
  <c r="J64" i="9"/>
  <c r="K64" i="9"/>
  <c r="I63" i="9"/>
  <c r="J63" i="9"/>
  <c r="K63" i="9"/>
  <c r="I62" i="9"/>
  <c r="J62" i="9"/>
  <c r="K62" i="9"/>
  <c r="I61" i="9"/>
  <c r="J61" i="9"/>
  <c r="K61" i="9"/>
  <c r="I60" i="9"/>
  <c r="J60" i="9"/>
  <c r="K60" i="9"/>
  <c r="I59" i="9"/>
  <c r="J59" i="9"/>
  <c r="K59" i="9"/>
  <c r="I58" i="9"/>
  <c r="J58" i="9"/>
  <c r="K58" i="9"/>
  <c r="I57" i="9"/>
  <c r="J57" i="9"/>
  <c r="K57" i="9"/>
  <c r="I56" i="9"/>
  <c r="J56" i="9"/>
  <c r="K56" i="9"/>
  <c r="I55" i="9"/>
  <c r="J55" i="9"/>
  <c r="K55" i="9"/>
  <c r="I54" i="9"/>
  <c r="J54" i="9"/>
  <c r="K54" i="9"/>
  <c r="I53" i="9"/>
  <c r="J53" i="9"/>
  <c r="K53" i="9"/>
  <c r="I52" i="9"/>
  <c r="J52" i="9"/>
  <c r="K52" i="9"/>
  <c r="I51" i="9"/>
  <c r="J51" i="9"/>
  <c r="K51" i="9"/>
  <c r="I50" i="9"/>
  <c r="J50" i="9"/>
  <c r="K50" i="9"/>
  <c r="I49" i="9"/>
  <c r="J49" i="9"/>
  <c r="K49" i="9"/>
  <c r="I48" i="9"/>
  <c r="J48" i="9"/>
  <c r="K48" i="9"/>
  <c r="I47" i="9"/>
  <c r="J47" i="9"/>
  <c r="K47" i="9"/>
  <c r="I46" i="9"/>
  <c r="J46" i="9"/>
  <c r="K46" i="9"/>
  <c r="I45" i="9"/>
  <c r="J45" i="9"/>
  <c r="K45" i="9"/>
  <c r="I44" i="9"/>
  <c r="J44" i="9"/>
  <c r="K44" i="9"/>
  <c r="I43" i="9"/>
  <c r="J43" i="9"/>
  <c r="K43" i="9"/>
  <c r="I42" i="9"/>
  <c r="J42" i="9"/>
  <c r="K42" i="9"/>
  <c r="I41" i="9"/>
  <c r="J41" i="9"/>
  <c r="K41" i="9"/>
  <c r="I40" i="9"/>
  <c r="J40" i="9"/>
  <c r="K40" i="9"/>
  <c r="I39" i="9"/>
  <c r="J39" i="9"/>
  <c r="K39" i="9"/>
  <c r="I38" i="9"/>
  <c r="J38" i="9"/>
  <c r="K38" i="9"/>
  <c r="I37" i="9"/>
  <c r="J37" i="9"/>
  <c r="K37" i="9"/>
  <c r="I36" i="9"/>
  <c r="J36" i="9"/>
  <c r="K36" i="9"/>
  <c r="I35" i="9"/>
  <c r="J35" i="9"/>
  <c r="K35" i="9"/>
  <c r="I34" i="9"/>
  <c r="J34" i="9"/>
  <c r="K34" i="9"/>
  <c r="I33" i="9"/>
  <c r="J33" i="9"/>
  <c r="K33" i="9"/>
  <c r="I32" i="9"/>
  <c r="J32" i="9"/>
  <c r="K32" i="9"/>
  <c r="I31" i="9"/>
  <c r="J31" i="9"/>
  <c r="K31" i="9"/>
  <c r="I30" i="9"/>
  <c r="J30" i="9"/>
  <c r="K30" i="9"/>
  <c r="I29" i="9"/>
  <c r="J29" i="9"/>
  <c r="K29" i="9"/>
  <c r="I28" i="9"/>
  <c r="J28" i="9"/>
  <c r="K28" i="9"/>
  <c r="I27" i="9"/>
  <c r="J27" i="9"/>
  <c r="K27" i="9"/>
  <c r="I26" i="9"/>
  <c r="J26" i="9"/>
  <c r="K26" i="9"/>
  <c r="I25" i="9"/>
  <c r="J25" i="9"/>
  <c r="K25" i="9"/>
  <c r="I24" i="9"/>
  <c r="J24" i="9"/>
  <c r="K24" i="9"/>
  <c r="I23" i="9"/>
  <c r="J23" i="9"/>
  <c r="K23" i="9"/>
  <c r="I22" i="9"/>
  <c r="J22" i="9"/>
  <c r="K22" i="9"/>
  <c r="I21" i="9"/>
  <c r="J21" i="9"/>
  <c r="K21" i="9"/>
  <c r="I20" i="9"/>
  <c r="J20" i="9"/>
  <c r="K20" i="9"/>
  <c r="I19" i="9"/>
  <c r="J19" i="9"/>
  <c r="K19" i="9"/>
  <c r="E103" i="9"/>
  <c r="E102" i="9"/>
  <c r="E101" i="9"/>
  <c r="E100" i="9"/>
  <c r="E99" i="9"/>
  <c r="E98" i="9"/>
  <c r="E97" i="9"/>
  <c r="E96" i="9"/>
  <c r="E95" i="9"/>
  <c r="E94" i="9"/>
  <c r="E93" i="9"/>
  <c r="E92" i="9"/>
  <c r="E91" i="9"/>
  <c r="E90" i="9"/>
  <c r="E89" i="9"/>
  <c r="E88" i="9"/>
  <c r="E87" i="9"/>
  <c r="E86" i="9"/>
  <c r="E85" i="9"/>
  <c r="E84" i="9"/>
  <c r="E83" i="9"/>
  <c r="E82" i="9"/>
  <c r="E81" i="9"/>
  <c r="E80" i="9"/>
  <c r="E79" i="9"/>
  <c r="E78" i="9"/>
  <c r="E77" i="9"/>
  <c r="E76" i="9"/>
  <c r="E75" i="9"/>
  <c r="E74" i="9"/>
  <c r="E73" i="9"/>
  <c r="E72" i="9"/>
  <c r="E71" i="9"/>
  <c r="E70" i="9"/>
  <c r="E69" i="9"/>
  <c r="E68" i="9"/>
  <c r="E67" i="9"/>
  <c r="E66" i="9"/>
  <c r="E65" i="9"/>
  <c r="E64" i="9"/>
  <c r="E63" i="9"/>
  <c r="E62" i="9"/>
  <c r="E61" i="9"/>
  <c r="E60" i="9"/>
  <c r="E59" i="9"/>
  <c r="E58" i="9"/>
  <c r="E57" i="9"/>
  <c r="E56" i="9"/>
  <c r="E55" i="9"/>
  <c r="E54" i="9"/>
  <c r="E53" i="9"/>
  <c r="E52" i="9"/>
  <c r="E51" i="9"/>
  <c r="E50" i="9"/>
  <c r="E49" i="9"/>
  <c r="E48" i="9"/>
  <c r="E47" i="9"/>
  <c r="E46" i="9"/>
  <c r="E45" i="9"/>
  <c r="E44" i="9"/>
  <c r="E43" i="9"/>
  <c r="E42" i="9"/>
  <c r="E41" i="9"/>
  <c r="E40" i="9"/>
  <c r="E39" i="9"/>
  <c r="E38" i="9"/>
  <c r="E37" i="9"/>
  <c r="E36" i="9"/>
  <c r="E35" i="9"/>
  <c r="E34" i="9"/>
  <c r="E33" i="9"/>
  <c r="E32" i="9"/>
  <c r="E31" i="9"/>
  <c r="E30" i="9"/>
  <c r="E29" i="9"/>
  <c r="E28" i="9"/>
  <c r="E27" i="9"/>
  <c r="E26" i="9"/>
  <c r="E25" i="9"/>
  <c r="E24" i="9"/>
  <c r="E23" i="9"/>
  <c r="E22" i="9"/>
  <c r="E21" i="9"/>
  <c r="E20" i="9"/>
  <c r="E19" i="9"/>
  <c r="P17" i="2"/>
  <c r="C14" i="17"/>
  <c r="Q17" i="2"/>
  <c r="C13" i="17"/>
  <c r="C15" i="17"/>
  <c r="B7" i="17"/>
  <c r="B8" i="17"/>
  <c r="C8" i="17"/>
  <c r="C7" i="17"/>
  <c r="C9" i="17"/>
  <c r="C21" i="17"/>
  <c r="D8" i="17"/>
  <c r="E8" i="17"/>
  <c r="F8" i="17"/>
  <c r="G8" i="17"/>
  <c r="D7" i="17"/>
  <c r="E7" i="17"/>
  <c r="F7" i="17"/>
  <c r="G7" i="17"/>
  <c r="G9" i="17"/>
  <c r="G7" i="16"/>
  <c r="G9" i="16"/>
  <c r="H16" i="2"/>
  <c r="V16"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52" i="2"/>
  <c r="O53" i="2"/>
  <c r="O54" i="2"/>
  <c r="O55" i="2"/>
  <c r="O56" i="2"/>
  <c r="O57" i="2"/>
  <c r="O58" i="2"/>
  <c r="O59" i="2"/>
  <c r="O60" i="2"/>
  <c r="O61" i="2"/>
  <c r="O62" i="2"/>
  <c r="O63" i="2"/>
  <c r="O64" i="2"/>
  <c r="O65" i="2"/>
  <c r="O66" i="2"/>
  <c r="O67" i="2"/>
  <c r="O68" i="2"/>
  <c r="O69" i="2"/>
  <c r="O70" i="2"/>
  <c r="O71" i="2"/>
  <c r="O72" i="2"/>
  <c r="O73" i="2"/>
  <c r="O74" i="2"/>
  <c r="O75" i="2"/>
  <c r="O76" i="2"/>
  <c r="O77" i="2"/>
  <c r="O78" i="2"/>
  <c r="O79" i="2"/>
  <c r="O80" i="2"/>
  <c r="O81" i="2"/>
  <c r="O82" i="2"/>
  <c r="O83" i="2"/>
  <c r="O84" i="2"/>
  <c r="O85" i="2"/>
  <c r="O86" i="2"/>
  <c r="O87" i="2"/>
  <c r="O88" i="2"/>
  <c r="O89" i="2"/>
  <c r="O90" i="2"/>
  <c r="O91" i="2"/>
  <c r="O92" i="2"/>
  <c r="O93" i="2"/>
  <c r="O94" i="2"/>
  <c r="O95" i="2"/>
  <c r="O96" i="2"/>
  <c r="O97" i="2"/>
  <c r="O98" i="2"/>
  <c r="O99" i="2"/>
  <c r="O100" i="2"/>
  <c r="O101" i="2"/>
  <c r="O102" i="2"/>
  <c r="O103" i="2"/>
  <c r="P14" i="2"/>
  <c r="W16" i="2"/>
  <c r="W19" i="2"/>
  <c r="W103" i="2"/>
  <c r="W102" i="2"/>
  <c r="W101" i="2"/>
  <c r="W100" i="2"/>
  <c r="W99" i="2"/>
  <c r="W98" i="2"/>
  <c r="W97" i="2"/>
  <c r="W96" i="2"/>
  <c r="W95" i="2"/>
  <c r="W94" i="2"/>
  <c r="W93" i="2"/>
  <c r="W92" i="2"/>
  <c r="W91" i="2"/>
  <c r="W90" i="2"/>
  <c r="W89" i="2"/>
  <c r="W88" i="2"/>
  <c r="W87" i="2"/>
  <c r="W86" i="2"/>
  <c r="W85" i="2"/>
  <c r="W84" i="2"/>
  <c r="W83" i="2"/>
  <c r="W82" i="2"/>
  <c r="W81" i="2"/>
  <c r="W80" i="2"/>
  <c r="W79" i="2"/>
  <c r="W78" i="2"/>
  <c r="W77" i="2"/>
  <c r="W76" i="2"/>
  <c r="W75" i="2"/>
  <c r="W74" i="2"/>
  <c r="W73" i="2"/>
  <c r="W72" i="2"/>
  <c r="W71" i="2"/>
  <c r="W70" i="2"/>
  <c r="W69" i="2"/>
  <c r="W68" i="2"/>
  <c r="W67" i="2"/>
  <c r="W66" i="2"/>
  <c r="W65" i="2"/>
  <c r="W64" i="2"/>
  <c r="W63" i="2"/>
  <c r="W62" i="2"/>
  <c r="W61" i="2"/>
  <c r="W60" i="2"/>
  <c r="W59" i="2"/>
  <c r="W58" i="2"/>
  <c r="W57" i="2"/>
  <c r="W56" i="2"/>
  <c r="W55" i="2"/>
  <c r="W54" i="2"/>
  <c r="W53" i="2"/>
  <c r="W52" i="2"/>
  <c r="W51" i="2"/>
  <c r="W50" i="2"/>
  <c r="W49" i="2"/>
  <c r="W48" i="2"/>
  <c r="W47" i="2"/>
  <c r="W46" i="2"/>
  <c r="W45" i="2"/>
  <c r="W44" i="2"/>
  <c r="W43" i="2"/>
  <c r="W42" i="2"/>
  <c r="W41" i="2"/>
  <c r="W40" i="2"/>
  <c r="W39" i="2"/>
  <c r="W38" i="2"/>
  <c r="W37" i="2"/>
  <c r="W36" i="2"/>
  <c r="W35" i="2"/>
  <c r="W34" i="2"/>
  <c r="W33" i="2"/>
  <c r="W32" i="2"/>
  <c r="W31" i="2"/>
  <c r="W30" i="2"/>
  <c r="W29" i="2"/>
  <c r="W28" i="2"/>
  <c r="W27" i="2"/>
  <c r="W26" i="2"/>
  <c r="W25" i="2"/>
  <c r="W24" i="2"/>
  <c r="W23" i="2"/>
  <c r="W22" i="2"/>
  <c r="W21" i="2"/>
  <c r="W20" i="2"/>
  <c r="X19" i="2"/>
  <c r="X103" i="2"/>
  <c r="X102" i="2"/>
  <c r="X101" i="2"/>
  <c r="X100" i="2"/>
  <c r="X99" i="2"/>
  <c r="X98" i="2"/>
  <c r="X97" i="2"/>
  <c r="X96" i="2"/>
  <c r="X95" i="2"/>
  <c r="X94" i="2"/>
  <c r="X93" i="2"/>
  <c r="X92" i="2"/>
  <c r="X91" i="2"/>
  <c r="X90" i="2"/>
  <c r="X89" i="2"/>
  <c r="X88" i="2"/>
  <c r="X87" i="2"/>
  <c r="X86" i="2"/>
  <c r="X85" i="2"/>
  <c r="X84" i="2"/>
  <c r="X83" i="2"/>
  <c r="X82" i="2"/>
  <c r="X81" i="2"/>
  <c r="X80" i="2"/>
  <c r="X79" i="2"/>
  <c r="X78" i="2"/>
  <c r="X77" i="2"/>
  <c r="X76" i="2"/>
  <c r="X75" i="2"/>
  <c r="X74" i="2"/>
  <c r="X73" i="2"/>
  <c r="X72" i="2"/>
  <c r="X71" i="2"/>
  <c r="X70" i="2"/>
  <c r="X69" i="2"/>
  <c r="X68" i="2"/>
  <c r="X67" i="2"/>
  <c r="X66" i="2"/>
  <c r="X65" i="2"/>
  <c r="X64" i="2"/>
  <c r="X63" i="2"/>
  <c r="X62" i="2"/>
  <c r="X61" i="2"/>
  <c r="X60" i="2"/>
  <c r="X59" i="2"/>
  <c r="X58" i="2"/>
  <c r="X57" i="2"/>
  <c r="X56" i="2"/>
  <c r="X55" i="2"/>
  <c r="X54" i="2"/>
  <c r="X53" i="2"/>
  <c r="X52" i="2"/>
  <c r="X51" i="2"/>
  <c r="X50" i="2"/>
  <c r="X49" i="2"/>
  <c r="X48" i="2"/>
  <c r="X47" i="2"/>
  <c r="X46" i="2"/>
  <c r="X45" i="2"/>
  <c r="X44" i="2"/>
  <c r="X43" i="2"/>
  <c r="X42" i="2"/>
  <c r="X41" i="2"/>
  <c r="X40" i="2"/>
  <c r="X39" i="2"/>
  <c r="X38" i="2"/>
  <c r="X37" i="2"/>
  <c r="X36" i="2"/>
  <c r="X35" i="2"/>
  <c r="X34" i="2"/>
  <c r="X33" i="2"/>
  <c r="X32" i="2"/>
  <c r="X31" i="2"/>
  <c r="X30" i="2"/>
  <c r="X29" i="2"/>
  <c r="X28" i="2"/>
  <c r="X27" i="2"/>
  <c r="X26" i="2"/>
  <c r="X25" i="2"/>
  <c r="X24" i="2"/>
  <c r="X23" i="2"/>
  <c r="X22" i="2"/>
  <c r="X21" i="2"/>
  <c r="X20" i="2"/>
  <c r="B19" i="16"/>
  <c r="D9" i="16"/>
  <c r="E9" i="16"/>
  <c r="F9" i="16"/>
  <c r="C9" i="16"/>
  <c r="B9" i="16"/>
  <c r="B21" i="16"/>
  <c r="C16" i="16"/>
  <c r="C24" i="16"/>
  <c r="R103" i="2"/>
  <c r="R102" i="2"/>
  <c r="R101" i="2"/>
  <c r="R100" i="2"/>
  <c r="R99" i="2"/>
  <c r="R98" i="2"/>
  <c r="R97" i="2"/>
  <c r="R96" i="2"/>
  <c r="R95" i="2"/>
  <c r="R94" i="2"/>
  <c r="R93" i="2"/>
  <c r="R92" i="2"/>
  <c r="R91" i="2"/>
  <c r="R90" i="2"/>
  <c r="R89" i="2"/>
  <c r="R88" i="2"/>
  <c r="R87" i="2"/>
  <c r="R86" i="2"/>
  <c r="R85" i="2"/>
  <c r="R84" i="2"/>
  <c r="R83" i="2"/>
  <c r="R82" i="2"/>
  <c r="R81" i="2"/>
  <c r="R80" i="2"/>
  <c r="R79" i="2"/>
  <c r="R78" i="2"/>
  <c r="R77" i="2"/>
  <c r="R76" i="2"/>
  <c r="R75" i="2"/>
  <c r="R74" i="2"/>
  <c r="R73" i="2"/>
  <c r="R72" i="2"/>
  <c r="R71" i="2"/>
  <c r="R70" i="2"/>
  <c r="R69" i="2"/>
  <c r="R68" i="2"/>
  <c r="R67" i="2"/>
  <c r="R66" i="2"/>
  <c r="R65" i="2"/>
  <c r="R64" i="2"/>
  <c r="R63" i="2"/>
  <c r="R62" i="2"/>
  <c r="R61" i="2"/>
  <c r="R60" i="2"/>
  <c r="R59" i="2"/>
  <c r="R58" i="2"/>
  <c r="R57" i="2"/>
  <c r="R56" i="2"/>
  <c r="R55" i="2"/>
  <c r="R54" i="2"/>
  <c r="R53" i="2"/>
  <c r="R52" i="2"/>
  <c r="R51" i="2"/>
  <c r="R50" i="2"/>
  <c r="R49" i="2"/>
  <c r="R48" i="2"/>
  <c r="R47" i="2"/>
  <c r="R46" i="2"/>
  <c r="R45" i="2"/>
  <c r="R44" i="2"/>
  <c r="R43" i="2"/>
  <c r="R42" i="2"/>
  <c r="R41" i="2"/>
  <c r="R40" i="2"/>
  <c r="R39" i="2"/>
  <c r="R38" i="2"/>
  <c r="R37" i="2"/>
  <c r="R36" i="2"/>
  <c r="R35" i="2"/>
  <c r="R34" i="2"/>
  <c r="R33" i="2"/>
  <c r="R32" i="2"/>
  <c r="R31" i="2"/>
  <c r="R30" i="2"/>
  <c r="R29" i="2"/>
  <c r="R28" i="2"/>
  <c r="R27" i="2"/>
  <c r="R26" i="2"/>
  <c r="R25" i="2"/>
  <c r="R24" i="2"/>
  <c r="R23" i="2"/>
  <c r="R22" i="2"/>
  <c r="R21" i="2"/>
  <c r="R20" i="2"/>
  <c r="R19" i="2"/>
  <c r="B13" i="17"/>
  <c r="B19" i="17"/>
  <c r="C19" i="17"/>
  <c r="B14" i="17"/>
  <c r="B15" i="17"/>
  <c r="B21" i="17"/>
  <c r="D9" i="17"/>
  <c r="E9" i="17"/>
  <c r="F9" i="17"/>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C16" i="17"/>
  <c r="C24" i="17"/>
  <c r="B20" i="17"/>
  <c r="C20" i="17"/>
  <c r="F16" i="2"/>
  <c r="H17" i="2"/>
  <c r="I16" i="2"/>
  <c r="J16" i="2"/>
  <c r="K16" i="2"/>
  <c r="AD47" i="2"/>
  <c r="AD48" i="2"/>
  <c r="AD49" i="2"/>
  <c r="AD50" i="2"/>
  <c r="AD51" i="2"/>
  <c r="AD52" i="2"/>
  <c r="AD53" i="2"/>
  <c r="AD54" i="2"/>
  <c r="AD55" i="2"/>
  <c r="AD56" i="2"/>
  <c r="AD57" i="2"/>
  <c r="AD58" i="2"/>
  <c r="AD59" i="2"/>
  <c r="AD60" i="2"/>
  <c r="AD61" i="2"/>
  <c r="AD62" i="2"/>
  <c r="AD63" i="2"/>
  <c r="AD64" i="2"/>
  <c r="AD65" i="2"/>
  <c r="AD66" i="2"/>
  <c r="AD67" i="2"/>
  <c r="AD68" i="2"/>
  <c r="AD69" i="2"/>
  <c r="AD70" i="2"/>
  <c r="AD71" i="2"/>
  <c r="AD72" i="2"/>
  <c r="AD73" i="2"/>
  <c r="AD74" i="2"/>
  <c r="AD75" i="2"/>
  <c r="AD76" i="2"/>
  <c r="AD77" i="2"/>
  <c r="AD78" i="2"/>
  <c r="AD79" i="2"/>
  <c r="AD80" i="2"/>
  <c r="AD81" i="2"/>
  <c r="AD82" i="2"/>
  <c r="AD83" i="2"/>
  <c r="AD84" i="2"/>
  <c r="AD85" i="2"/>
  <c r="AD86" i="2"/>
  <c r="AD87" i="2"/>
  <c r="AD88" i="2"/>
  <c r="AD89" i="2"/>
  <c r="AD90" i="2"/>
  <c r="AD91" i="2"/>
  <c r="AD92" i="2"/>
  <c r="AD93" i="2"/>
  <c r="AD94" i="2"/>
  <c r="AD95" i="2"/>
  <c r="AD96" i="2"/>
  <c r="AD97" i="2"/>
  <c r="AD98" i="2"/>
  <c r="AD99" i="2"/>
  <c r="AD100" i="2"/>
  <c r="AD101" i="2"/>
  <c r="AD102" i="2"/>
  <c r="AD103" i="2"/>
  <c r="V17" i="2"/>
  <c r="D103" i="13"/>
  <c r="D102" i="13"/>
  <c r="D101" i="13"/>
  <c r="D100" i="13"/>
  <c r="D99" i="13"/>
  <c r="D98" i="13"/>
  <c r="D97" i="13"/>
  <c r="D96" i="13"/>
  <c r="D95" i="13"/>
  <c r="D94" i="13"/>
  <c r="D93" i="13"/>
  <c r="D92" i="13"/>
  <c r="D91" i="13"/>
  <c r="D90" i="13"/>
  <c r="D89" i="13"/>
  <c r="D88" i="13"/>
  <c r="D87" i="13"/>
  <c r="D86" i="13"/>
  <c r="D85" i="13"/>
  <c r="D84" i="13"/>
  <c r="D83" i="13"/>
  <c r="D82" i="13"/>
  <c r="D81" i="13"/>
  <c r="D80" i="13"/>
  <c r="D79" i="13"/>
  <c r="D78" i="13"/>
  <c r="D77" i="13"/>
  <c r="D76" i="13"/>
  <c r="D75" i="13"/>
  <c r="D74" i="13"/>
  <c r="D73" i="13"/>
  <c r="D72" i="13"/>
  <c r="D71" i="13"/>
  <c r="D70" i="13"/>
  <c r="D69" i="13"/>
  <c r="D68" i="13"/>
  <c r="D67" i="13"/>
  <c r="D66" i="13"/>
  <c r="D65" i="13"/>
  <c r="D64" i="13"/>
  <c r="D63" i="13"/>
  <c r="D62" i="13"/>
  <c r="D61" i="13"/>
  <c r="D60" i="13"/>
  <c r="D59" i="13"/>
  <c r="D58" i="13"/>
  <c r="D57" i="13"/>
  <c r="D56" i="13"/>
  <c r="D55" i="13"/>
  <c r="D54" i="13"/>
  <c r="D53" i="13"/>
  <c r="D52" i="13"/>
  <c r="D51" i="13"/>
  <c r="D50" i="13"/>
  <c r="D49" i="13"/>
  <c r="D48" i="13"/>
  <c r="D47" i="13"/>
  <c r="D46" i="13"/>
  <c r="D45" i="13"/>
  <c r="D44" i="13"/>
  <c r="D43" i="13"/>
  <c r="D42" i="13"/>
  <c r="D41" i="13"/>
  <c r="D40" i="13"/>
  <c r="D39" i="13"/>
  <c r="D38" i="13"/>
  <c r="D37" i="13"/>
  <c r="D36" i="13"/>
  <c r="D35" i="13"/>
  <c r="D34" i="13"/>
  <c r="D33" i="13"/>
  <c r="D32" i="13"/>
  <c r="D31" i="13"/>
  <c r="D30" i="13"/>
  <c r="D29" i="13"/>
  <c r="D28" i="13"/>
  <c r="D27" i="13"/>
  <c r="D26" i="13"/>
  <c r="D25" i="13"/>
  <c r="D24" i="13"/>
  <c r="D23" i="13"/>
  <c r="D22" i="13"/>
  <c r="D21" i="13"/>
  <c r="D20" i="13"/>
  <c r="D19" i="13"/>
  <c r="E103" i="13"/>
  <c r="E102" i="13"/>
  <c r="E101" i="13"/>
  <c r="E100" i="13"/>
  <c r="E99" i="13"/>
  <c r="E98" i="13"/>
  <c r="E97" i="13"/>
  <c r="E96" i="13"/>
  <c r="E95" i="13"/>
  <c r="E94" i="13"/>
  <c r="E93" i="13"/>
  <c r="E92" i="13"/>
  <c r="E91" i="13"/>
  <c r="E90" i="13"/>
  <c r="E89" i="13"/>
  <c r="E88" i="13"/>
  <c r="E87" i="13"/>
  <c r="E86" i="13"/>
  <c r="E85" i="13"/>
  <c r="E84" i="13"/>
  <c r="E83" i="13"/>
  <c r="E82" i="13"/>
  <c r="E81" i="13"/>
  <c r="E80" i="13"/>
  <c r="E79" i="13"/>
  <c r="E78" i="13"/>
  <c r="E77" i="13"/>
  <c r="E76" i="13"/>
  <c r="E75" i="13"/>
  <c r="E74" i="13"/>
  <c r="E73" i="13"/>
  <c r="E72" i="13"/>
  <c r="E71" i="13"/>
  <c r="E70" i="13"/>
  <c r="E69" i="13"/>
  <c r="E68" i="13"/>
  <c r="E67" i="13"/>
  <c r="E66" i="13"/>
  <c r="E65" i="13"/>
  <c r="E64" i="13"/>
  <c r="E63" i="13"/>
  <c r="E62" i="13"/>
  <c r="E61" i="13"/>
  <c r="E60"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C16" i="13"/>
  <c r="P16" i="2"/>
  <c r="C14" i="16"/>
  <c r="C20" i="16"/>
  <c r="C15" i="16"/>
  <c r="C21" i="16"/>
  <c r="X16" i="2"/>
  <c r="N17" i="12"/>
  <c r="N16" i="12"/>
  <c r="N17" i="10"/>
  <c r="N16" i="10"/>
  <c r="N17" i="8"/>
  <c r="N16" i="8"/>
  <c r="E16" i="9"/>
  <c r="F14" i="9"/>
  <c r="G103" i="9"/>
  <c r="N103" i="9"/>
  <c r="L103" i="9"/>
  <c r="G102" i="9"/>
  <c r="N102" i="9"/>
  <c r="L102" i="9"/>
  <c r="G101" i="9"/>
  <c r="N101" i="9"/>
  <c r="L101" i="9"/>
  <c r="G100" i="9"/>
  <c r="N100" i="9"/>
  <c r="L100" i="9"/>
  <c r="G99" i="9"/>
  <c r="N99" i="9"/>
  <c r="L99" i="9"/>
  <c r="G98" i="9"/>
  <c r="N98" i="9"/>
  <c r="L98" i="9"/>
  <c r="G97" i="9"/>
  <c r="N97" i="9"/>
  <c r="L97" i="9"/>
  <c r="G96" i="9"/>
  <c r="N96" i="9"/>
  <c r="L96" i="9"/>
  <c r="G95" i="9"/>
  <c r="N95" i="9"/>
  <c r="L95" i="9"/>
  <c r="G94" i="9"/>
  <c r="N94" i="9"/>
  <c r="L94" i="9"/>
  <c r="G93" i="9"/>
  <c r="N93" i="9"/>
  <c r="L93" i="9"/>
  <c r="G92" i="9"/>
  <c r="N92" i="9"/>
  <c r="L92" i="9"/>
  <c r="G91" i="9"/>
  <c r="N91" i="9"/>
  <c r="L91" i="9"/>
  <c r="G90" i="9"/>
  <c r="N90" i="9"/>
  <c r="L90" i="9"/>
  <c r="G89" i="9"/>
  <c r="N89" i="9"/>
  <c r="L89" i="9"/>
  <c r="G88" i="9"/>
  <c r="N88" i="9"/>
  <c r="L88" i="9"/>
  <c r="G87" i="9"/>
  <c r="N87" i="9"/>
  <c r="L87" i="9"/>
  <c r="G86" i="9"/>
  <c r="N86" i="9"/>
  <c r="L86" i="9"/>
  <c r="G85" i="9"/>
  <c r="N85" i="9"/>
  <c r="L85" i="9"/>
  <c r="G84" i="9"/>
  <c r="N84" i="9"/>
  <c r="L84" i="9"/>
  <c r="G83" i="9"/>
  <c r="N83" i="9"/>
  <c r="L83" i="9"/>
  <c r="G82" i="9"/>
  <c r="N82" i="9"/>
  <c r="L82" i="9"/>
  <c r="G81" i="9"/>
  <c r="N81" i="9"/>
  <c r="L81" i="9"/>
  <c r="G80" i="9"/>
  <c r="N80" i="9"/>
  <c r="L80" i="9"/>
  <c r="G79" i="9"/>
  <c r="N79" i="9"/>
  <c r="L79" i="9"/>
  <c r="G78" i="9"/>
  <c r="N78" i="9"/>
  <c r="L78" i="9"/>
  <c r="G77" i="9"/>
  <c r="N77" i="9"/>
  <c r="L77" i="9"/>
  <c r="G76" i="9"/>
  <c r="N76" i="9"/>
  <c r="L76" i="9"/>
  <c r="G75" i="9"/>
  <c r="N75" i="9"/>
  <c r="L75" i="9"/>
  <c r="G74" i="9"/>
  <c r="N74" i="9"/>
  <c r="L74" i="9"/>
  <c r="G73" i="9"/>
  <c r="N73" i="9"/>
  <c r="L73" i="9"/>
  <c r="G72" i="9"/>
  <c r="N72" i="9"/>
  <c r="L72" i="9"/>
  <c r="G71" i="9"/>
  <c r="N71" i="9"/>
  <c r="L71" i="9"/>
  <c r="G70" i="9"/>
  <c r="N70" i="9"/>
  <c r="L70" i="9"/>
  <c r="G69" i="9"/>
  <c r="N69" i="9"/>
  <c r="L69" i="9"/>
  <c r="G68" i="9"/>
  <c r="N68" i="9"/>
  <c r="L68" i="9"/>
  <c r="G67" i="9"/>
  <c r="N67" i="9"/>
  <c r="L67" i="9"/>
  <c r="G66" i="9"/>
  <c r="N66" i="9"/>
  <c r="L66" i="9"/>
  <c r="G65" i="9"/>
  <c r="N65" i="9"/>
  <c r="L65" i="9"/>
  <c r="G64" i="9"/>
  <c r="N64" i="9"/>
  <c r="L64" i="9"/>
  <c r="G63" i="9"/>
  <c r="N63" i="9"/>
  <c r="L63" i="9"/>
  <c r="G62" i="9"/>
  <c r="N62" i="9"/>
  <c r="L62" i="9"/>
  <c r="G61" i="9"/>
  <c r="N61" i="9"/>
  <c r="L61" i="9"/>
  <c r="G60" i="9"/>
  <c r="N60" i="9"/>
  <c r="L60" i="9"/>
  <c r="G59" i="9"/>
  <c r="N59" i="9"/>
  <c r="L59" i="9"/>
  <c r="G58" i="9"/>
  <c r="N58" i="9"/>
  <c r="L58" i="9"/>
  <c r="G57" i="9"/>
  <c r="N57" i="9"/>
  <c r="L57" i="9"/>
  <c r="G56" i="9"/>
  <c r="N56" i="9"/>
  <c r="L56" i="9"/>
  <c r="G55" i="9"/>
  <c r="N55" i="9"/>
  <c r="L55" i="9"/>
  <c r="G54" i="9"/>
  <c r="N54" i="9"/>
  <c r="L54" i="9"/>
  <c r="G53" i="9"/>
  <c r="N53" i="9"/>
  <c r="L53" i="9"/>
  <c r="G52" i="9"/>
  <c r="N52" i="9"/>
  <c r="L52" i="9"/>
  <c r="G51" i="9"/>
  <c r="N51" i="9"/>
  <c r="L51" i="9"/>
  <c r="G50" i="9"/>
  <c r="N50" i="9"/>
  <c r="L50" i="9"/>
  <c r="G49" i="9"/>
  <c r="N49" i="9"/>
  <c r="L49" i="9"/>
  <c r="G48" i="9"/>
  <c r="N48" i="9"/>
  <c r="L48" i="9"/>
  <c r="G47" i="9"/>
  <c r="N47" i="9"/>
  <c r="L47" i="9"/>
  <c r="G46" i="9"/>
  <c r="N46" i="9"/>
  <c r="L46" i="9"/>
  <c r="G45" i="9"/>
  <c r="N45" i="9"/>
  <c r="L45" i="9"/>
  <c r="G44" i="9"/>
  <c r="N44" i="9"/>
  <c r="L44" i="9"/>
  <c r="G43" i="9"/>
  <c r="N43" i="9"/>
  <c r="L43" i="9"/>
  <c r="G42" i="9"/>
  <c r="N42" i="9"/>
  <c r="L42" i="9"/>
  <c r="G41" i="9"/>
  <c r="N41" i="9"/>
  <c r="L41" i="9"/>
  <c r="G40" i="9"/>
  <c r="N40" i="9"/>
  <c r="L40" i="9"/>
  <c r="G39" i="9"/>
  <c r="N39" i="9"/>
  <c r="L39" i="9"/>
  <c r="G38" i="9"/>
  <c r="N38" i="9"/>
  <c r="L38" i="9"/>
  <c r="G37" i="9"/>
  <c r="N37" i="9"/>
  <c r="L37" i="9"/>
  <c r="G36" i="9"/>
  <c r="N36" i="9"/>
  <c r="L36" i="9"/>
  <c r="G35" i="9"/>
  <c r="N35" i="9"/>
  <c r="L35" i="9"/>
  <c r="G34" i="9"/>
  <c r="N34" i="9"/>
  <c r="L34" i="9"/>
  <c r="G33" i="9"/>
  <c r="N33" i="9"/>
  <c r="L33" i="9"/>
  <c r="G32" i="9"/>
  <c r="N32" i="9"/>
  <c r="L32" i="9"/>
  <c r="G31" i="9"/>
  <c r="N31" i="9"/>
  <c r="L31" i="9"/>
  <c r="G30" i="9"/>
  <c r="N30" i="9"/>
  <c r="L30" i="9"/>
  <c r="G29" i="9"/>
  <c r="N29" i="9"/>
  <c r="L29" i="9"/>
  <c r="G28" i="9"/>
  <c r="N28" i="9"/>
  <c r="L28" i="9"/>
  <c r="G27" i="9"/>
  <c r="N27" i="9"/>
  <c r="L27" i="9"/>
  <c r="G26" i="9"/>
  <c r="N26" i="9"/>
  <c r="L26" i="9"/>
  <c r="G25" i="9"/>
  <c r="N25" i="9"/>
  <c r="L25" i="9"/>
  <c r="G24" i="9"/>
  <c r="N24" i="9"/>
  <c r="L24" i="9"/>
  <c r="G23" i="9"/>
  <c r="N23" i="9"/>
  <c r="L23" i="9"/>
  <c r="G22" i="9"/>
  <c r="N22" i="9"/>
  <c r="L22" i="9"/>
  <c r="G21" i="9"/>
  <c r="N21" i="9"/>
  <c r="L21" i="9"/>
  <c r="G20" i="9"/>
  <c r="N20" i="9"/>
  <c r="L20" i="9"/>
  <c r="G19" i="9"/>
  <c r="N19" i="9"/>
  <c r="L19" i="9"/>
  <c r="M20" i="9"/>
  <c r="P20" i="9"/>
  <c r="O20" i="9"/>
  <c r="M21" i="9"/>
  <c r="P21" i="9"/>
  <c r="O21" i="9"/>
  <c r="M22" i="9"/>
  <c r="P22" i="9"/>
  <c r="O22" i="9"/>
  <c r="M23" i="9"/>
  <c r="P23" i="9"/>
  <c r="O23" i="9"/>
  <c r="M24" i="9"/>
  <c r="P24" i="9"/>
  <c r="O24" i="9"/>
  <c r="M25" i="9"/>
  <c r="P25" i="9"/>
  <c r="O25" i="9"/>
  <c r="M26" i="9"/>
  <c r="P26" i="9"/>
  <c r="O26" i="9"/>
  <c r="M27" i="9"/>
  <c r="P27" i="9"/>
  <c r="O27" i="9"/>
  <c r="M28" i="9"/>
  <c r="P28" i="9"/>
  <c r="O28" i="9"/>
  <c r="M29" i="9"/>
  <c r="P29" i="9"/>
  <c r="O29" i="9"/>
  <c r="M30" i="9"/>
  <c r="P30" i="9"/>
  <c r="O30" i="9"/>
  <c r="M31" i="9"/>
  <c r="P31" i="9"/>
  <c r="O31" i="9"/>
  <c r="M32" i="9"/>
  <c r="P32" i="9"/>
  <c r="O32" i="9"/>
  <c r="M33" i="9"/>
  <c r="P33" i="9"/>
  <c r="O33" i="9"/>
  <c r="M34" i="9"/>
  <c r="P34" i="9"/>
  <c r="O34" i="9"/>
  <c r="M35" i="9"/>
  <c r="P35" i="9"/>
  <c r="O35" i="9"/>
  <c r="M36" i="9"/>
  <c r="P36" i="9"/>
  <c r="O36" i="9"/>
  <c r="M37" i="9"/>
  <c r="P37" i="9"/>
  <c r="O37" i="9"/>
  <c r="M38" i="9"/>
  <c r="P38" i="9"/>
  <c r="O38" i="9"/>
  <c r="M39" i="9"/>
  <c r="P39" i="9"/>
  <c r="O39" i="9"/>
  <c r="M40" i="9"/>
  <c r="P40" i="9"/>
  <c r="O40" i="9"/>
  <c r="M41" i="9"/>
  <c r="P41" i="9"/>
  <c r="O41" i="9"/>
  <c r="M42" i="9"/>
  <c r="P42" i="9"/>
  <c r="O42" i="9"/>
  <c r="M43" i="9"/>
  <c r="P43" i="9"/>
  <c r="O43" i="9"/>
  <c r="M44" i="9"/>
  <c r="P44" i="9"/>
  <c r="O44" i="9"/>
  <c r="M45" i="9"/>
  <c r="P45" i="9"/>
  <c r="O45" i="9"/>
  <c r="M46" i="9"/>
  <c r="P46" i="9"/>
  <c r="O46" i="9"/>
  <c r="M47" i="9"/>
  <c r="P47" i="9"/>
  <c r="O47" i="9"/>
  <c r="M48" i="9"/>
  <c r="P48" i="9"/>
  <c r="O48" i="9"/>
  <c r="M49" i="9"/>
  <c r="P49" i="9"/>
  <c r="O49" i="9"/>
  <c r="M50" i="9"/>
  <c r="P50" i="9"/>
  <c r="O50" i="9"/>
  <c r="M51" i="9"/>
  <c r="P51" i="9"/>
  <c r="O51" i="9"/>
  <c r="M52" i="9"/>
  <c r="P52" i="9"/>
  <c r="O52" i="9"/>
  <c r="M53" i="9"/>
  <c r="P53" i="9"/>
  <c r="O53" i="9"/>
  <c r="M54" i="9"/>
  <c r="P54" i="9"/>
  <c r="O54" i="9"/>
  <c r="M55" i="9"/>
  <c r="P55" i="9"/>
  <c r="O55" i="9"/>
  <c r="M56" i="9"/>
  <c r="P56" i="9"/>
  <c r="O56" i="9"/>
  <c r="M57" i="9"/>
  <c r="P57" i="9"/>
  <c r="O57" i="9"/>
  <c r="M58" i="9"/>
  <c r="P58" i="9"/>
  <c r="O58" i="9"/>
  <c r="M59" i="9"/>
  <c r="P59" i="9"/>
  <c r="O59" i="9"/>
  <c r="M60" i="9"/>
  <c r="P60" i="9"/>
  <c r="O60" i="9"/>
  <c r="M61" i="9"/>
  <c r="P61" i="9"/>
  <c r="O61" i="9"/>
  <c r="M62" i="9"/>
  <c r="P62" i="9"/>
  <c r="O62" i="9"/>
  <c r="M63" i="9"/>
  <c r="P63" i="9"/>
  <c r="O63" i="9"/>
  <c r="M64" i="9"/>
  <c r="P64" i="9"/>
  <c r="O64" i="9"/>
  <c r="M65" i="9"/>
  <c r="P65" i="9"/>
  <c r="O65" i="9"/>
  <c r="M66" i="9"/>
  <c r="P66" i="9"/>
  <c r="O66" i="9"/>
  <c r="M67" i="9"/>
  <c r="P67" i="9"/>
  <c r="O67" i="9"/>
  <c r="M68" i="9"/>
  <c r="P68" i="9"/>
  <c r="O68" i="9"/>
  <c r="M69" i="9"/>
  <c r="P69" i="9"/>
  <c r="O69" i="9"/>
  <c r="M70" i="9"/>
  <c r="P70" i="9"/>
  <c r="O70" i="9"/>
  <c r="M71" i="9"/>
  <c r="P71" i="9"/>
  <c r="O71" i="9"/>
  <c r="M72" i="9"/>
  <c r="P72" i="9"/>
  <c r="O72" i="9"/>
  <c r="M73" i="9"/>
  <c r="P73" i="9"/>
  <c r="O73" i="9"/>
  <c r="M74" i="9"/>
  <c r="P74" i="9"/>
  <c r="O74" i="9"/>
  <c r="M75" i="9"/>
  <c r="P75" i="9"/>
  <c r="O75" i="9"/>
  <c r="M76" i="9"/>
  <c r="P76" i="9"/>
  <c r="O76" i="9"/>
  <c r="M77" i="9"/>
  <c r="P77" i="9"/>
  <c r="O77" i="9"/>
  <c r="M78" i="9"/>
  <c r="P78" i="9"/>
  <c r="O78" i="9"/>
  <c r="M79" i="9"/>
  <c r="P79" i="9"/>
  <c r="O79" i="9"/>
  <c r="M80" i="9"/>
  <c r="P80" i="9"/>
  <c r="O80" i="9"/>
  <c r="M81" i="9"/>
  <c r="P81" i="9"/>
  <c r="O81" i="9"/>
  <c r="M82" i="9"/>
  <c r="P82" i="9"/>
  <c r="O82" i="9"/>
  <c r="M83" i="9"/>
  <c r="P83" i="9"/>
  <c r="O83" i="9"/>
  <c r="M84" i="9"/>
  <c r="P84" i="9"/>
  <c r="O84" i="9"/>
  <c r="M85" i="9"/>
  <c r="P85" i="9"/>
  <c r="O85" i="9"/>
  <c r="M86" i="9"/>
  <c r="P86" i="9"/>
  <c r="O86" i="9"/>
  <c r="M87" i="9"/>
  <c r="P87" i="9"/>
  <c r="O87" i="9"/>
  <c r="M88" i="9"/>
  <c r="P88" i="9"/>
  <c r="O88" i="9"/>
  <c r="M89" i="9"/>
  <c r="P89" i="9"/>
  <c r="O89" i="9"/>
  <c r="M90" i="9"/>
  <c r="P90" i="9"/>
  <c r="O90" i="9"/>
  <c r="M91" i="9"/>
  <c r="P91" i="9"/>
  <c r="O91" i="9"/>
  <c r="M92" i="9"/>
  <c r="P92" i="9"/>
  <c r="O92" i="9"/>
  <c r="M93" i="9"/>
  <c r="P93" i="9"/>
  <c r="O93" i="9"/>
  <c r="M94" i="9"/>
  <c r="P94" i="9"/>
  <c r="O94" i="9"/>
  <c r="M95" i="9"/>
  <c r="P95" i="9"/>
  <c r="O95" i="9"/>
  <c r="M96" i="9"/>
  <c r="P96" i="9"/>
  <c r="O96" i="9"/>
  <c r="M97" i="9"/>
  <c r="P97" i="9"/>
  <c r="O97" i="9"/>
  <c r="M98" i="9"/>
  <c r="P98" i="9"/>
  <c r="O98" i="9"/>
  <c r="M99" i="9"/>
  <c r="P99" i="9"/>
  <c r="O99" i="9"/>
  <c r="M100" i="9"/>
  <c r="P100" i="9"/>
  <c r="O100" i="9"/>
  <c r="M101" i="9"/>
  <c r="P101" i="9"/>
  <c r="O101" i="9"/>
  <c r="M102" i="9"/>
  <c r="P102" i="9"/>
  <c r="O102" i="9"/>
  <c r="M103" i="9"/>
  <c r="P103" i="9"/>
  <c r="O103" i="9"/>
  <c r="M19" i="9"/>
  <c r="P19" i="9"/>
  <c r="O19" i="9"/>
  <c r="P14" i="9"/>
  <c r="Q103" i="9"/>
  <c r="W103" i="9"/>
  <c r="Q102" i="9"/>
  <c r="W102" i="9"/>
  <c r="Q101" i="9"/>
  <c r="W101" i="9"/>
  <c r="Q100" i="9"/>
  <c r="W100" i="9"/>
  <c r="Q99" i="9"/>
  <c r="W99" i="9"/>
  <c r="Q98" i="9"/>
  <c r="W98" i="9"/>
  <c r="Q97" i="9"/>
  <c r="W97" i="9"/>
  <c r="Q96" i="9"/>
  <c r="W96" i="9"/>
  <c r="Q95" i="9"/>
  <c r="W95" i="9"/>
  <c r="Q94" i="9"/>
  <c r="W94" i="9"/>
  <c r="Q93" i="9"/>
  <c r="W93" i="9"/>
  <c r="Q92" i="9"/>
  <c r="W92" i="9"/>
  <c r="Q91" i="9"/>
  <c r="W91" i="9"/>
  <c r="Q90" i="9"/>
  <c r="W90" i="9"/>
  <c r="Q89" i="9"/>
  <c r="W89" i="9"/>
  <c r="Q88" i="9"/>
  <c r="W88" i="9"/>
  <c r="Q87" i="9"/>
  <c r="W87" i="9"/>
  <c r="Q86" i="9"/>
  <c r="W86" i="9"/>
  <c r="Q85" i="9"/>
  <c r="W85" i="9"/>
  <c r="Q84" i="9"/>
  <c r="W84" i="9"/>
  <c r="Q83" i="9"/>
  <c r="W83" i="9"/>
  <c r="Q82" i="9"/>
  <c r="W82" i="9"/>
  <c r="Q81" i="9"/>
  <c r="W81" i="9"/>
  <c r="Q80" i="9"/>
  <c r="W80" i="9"/>
  <c r="Q79" i="9"/>
  <c r="W79" i="9"/>
  <c r="Q78" i="9"/>
  <c r="W78" i="9"/>
  <c r="Q77" i="9"/>
  <c r="W77" i="9"/>
  <c r="Q76" i="9"/>
  <c r="W76" i="9"/>
  <c r="Q75" i="9"/>
  <c r="W75" i="9"/>
  <c r="Q74" i="9"/>
  <c r="W74" i="9"/>
  <c r="Q73" i="9"/>
  <c r="W73" i="9"/>
  <c r="Q72" i="9"/>
  <c r="W72" i="9"/>
  <c r="Q71" i="9"/>
  <c r="W71" i="9"/>
  <c r="Q70" i="9"/>
  <c r="W70" i="9"/>
  <c r="Q69" i="9"/>
  <c r="W69" i="9"/>
  <c r="Q68" i="9"/>
  <c r="W68" i="9"/>
  <c r="Q67" i="9"/>
  <c r="W67" i="9"/>
  <c r="Q66" i="9"/>
  <c r="W66" i="9"/>
  <c r="Q65" i="9"/>
  <c r="W65" i="9"/>
  <c r="Q64" i="9"/>
  <c r="W64" i="9"/>
  <c r="Q63" i="9"/>
  <c r="W63" i="9"/>
  <c r="Q62" i="9"/>
  <c r="W62" i="9"/>
  <c r="Q61" i="9"/>
  <c r="W61" i="9"/>
  <c r="Q60" i="9"/>
  <c r="W60" i="9"/>
  <c r="Q59" i="9"/>
  <c r="W59" i="9"/>
  <c r="Q58" i="9"/>
  <c r="W58" i="9"/>
  <c r="Q57" i="9"/>
  <c r="W57" i="9"/>
  <c r="Q56" i="9"/>
  <c r="W56" i="9"/>
  <c r="Q55" i="9"/>
  <c r="W55" i="9"/>
  <c r="Q54" i="9"/>
  <c r="W54" i="9"/>
  <c r="Q53" i="9"/>
  <c r="W53" i="9"/>
  <c r="Q52" i="9"/>
  <c r="W52" i="9"/>
  <c r="Q51" i="9"/>
  <c r="W51" i="9"/>
  <c r="Q50" i="9"/>
  <c r="W50" i="9"/>
  <c r="Q49" i="9"/>
  <c r="W49" i="9"/>
  <c r="Q48" i="9"/>
  <c r="W48" i="9"/>
  <c r="Q47" i="9"/>
  <c r="W47" i="9"/>
  <c r="Q46" i="9"/>
  <c r="W46" i="9"/>
  <c r="Q45" i="9"/>
  <c r="W45" i="9"/>
  <c r="Q44" i="9"/>
  <c r="W44" i="9"/>
  <c r="Q43" i="9"/>
  <c r="W43" i="9"/>
  <c r="Q42" i="9"/>
  <c r="W42" i="9"/>
  <c r="Q41" i="9"/>
  <c r="W41" i="9"/>
  <c r="Q40" i="9"/>
  <c r="W40" i="9"/>
  <c r="Q39" i="9"/>
  <c r="W39" i="9"/>
  <c r="Q38" i="9"/>
  <c r="W38" i="9"/>
  <c r="Q37" i="9"/>
  <c r="W37" i="9"/>
  <c r="Q36" i="9"/>
  <c r="W36" i="9"/>
  <c r="Q35" i="9"/>
  <c r="W35" i="9"/>
  <c r="Q34" i="9"/>
  <c r="W34" i="9"/>
  <c r="Q33" i="9"/>
  <c r="W33" i="9"/>
  <c r="Q32" i="9"/>
  <c r="W32" i="9"/>
  <c r="Q31" i="9"/>
  <c r="W31" i="9"/>
  <c r="Q30" i="9"/>
  <c r="W30" i="9"/>
  <c r="Q29" i="9"/>
  <c r="W29" i="9"/>
  <c r="Q28" i="9"/>
  <c r="W28" i="9"/>
  <c r="Q27" i="9"/>
  <c r="W27" i="9"/>
  <c r="Q26" i="9"/>
  <c r="W26" i="9"/>
  <c r="Q25" i="9"/>
  <c r="W25" i="9"/>
  <c r="Q24" i="9"/>
  <c r="W24" i="9"/>
  <c r="Q23" i="9"/>
  <c r="W23" i="9"/>
  <c r="Q22" i="9"/>
  <c r="W22" i="9"/>
  <c r="Q21" i="9"/>
  <c r="W21" i="9"/>
  <c r="Q20" i="9"/>
  <c r="W20" i="9"/>
  <c r="Q19" i="9"/>
  <c r="W19" i="9"/>
  <c r="X103" i="9"/>
  <c r="X102" i="9"/>
  <c r="X101" i="9"/>
  <c r="X100" i="9"/>
  <c r="X99" i="9"/>
  <c r="X98" i="9"/>
  <c r="X97" i="9"/>
  <c r="X96" i="9"/>
  <c r="X95" i="9"/>
  <c r="X94" i="9"/>
  <c r="X93" i="9"/>
  <c r="X92" i="9"/>
  <c r="X91" i="9"/>
  <c r="X90" i="9"/>
  <c r="X89" i="9"/>
  <c r="X88" i="9"/>
  <c r="X87" i="9"/>
  <c r="X86" i="9"/>
  <c r="X85" i="9"/>
  <c r="X84" i="9"/>
  <c r="X83" i="9"/>
  <c r="X82" i="9"/>
  <c r="X81" i="9"/>
  <c r="X80" i="9"/>
  <c r="X79" i="9"/>
  <c r="X78" i="9"/>
  <c r="X77" i="9"/>
  <c r="X76" i="9"/>
  <c r="X75" i="9"/>
  <c r="X74" i="9"/>
  <c r="X73" i="9"/>
  <c r="X72" i="9"/>
  <c r="X71" i="9"/>
  <c r="X70" i="9"/>
  <c r="X69" i="9"/>
  <c r="X68" i="9"/>
  <c r="X67" i="9"/>
  <c r="X66" i="9"/>
  <c r="X65" i="9"/>
  <c r="X64" i="9"/>
  <c r="X63" i="9"/>
  <c r="X62" i="9"/>
  <c r="X61" i="9"/>
  <c r="X60" i="9"/>
  <c r="X59" i="9"/>
  <c r="X58" i="9"/>
  <c r="X57" i="9"/>
  <c r="X56" i="9"/>
  <c r="X55" i="9"/>
  <c r="X54" i="9"/>
  <c r="X53" i="9"/>
  <c r="X52" i="9"/>
  <c r="X51" i="9"/>
  <c r="X50" i="9"/>
  <c r="X49" i="9"/>
  <c r="X48" i="9"/>
  <c r="X47" i="9"/>
  <c r="X46" i="9"/>
  <c r="X45" i="9"/>
  <c r="X44" i="9"/>
  <c r="X43" i="9"/>
  <c r="X42" i="9"/>
  <c r="X41" i="9"/>
  <c r="X40" i="9"/>
  <c r="X39" i="9"/>
  <c r="X38" i="9"/>
  <c r="X37" i="9"/>
  <c r="X36" i="9"/>
  <c r="X35" i="9"/>
  <c r="X34" i="9"/>
  <c r="X33" i="9"/>
  <c r="X32" i="9"/>
  <c r="X31" i="9"/>
  <c r="X30" i="9"/>
  <c r="X29" i="9"/>
  <c r="X28" i="9"/>
  <c r="X27" i="9"/>
  <c r="X26" i="9"/>
  <c r="X25" i="9"/>
  <c r="X24" i="9"/>
  <c r="X23" i="9"/>
  <c r="X22" i="9"/>
  <c r="X21" i="9"/>
  <c r="X20" i="9"/>
  <c r="X19" i="9"/>
  <c r="R103" i="9"/>
  <c r="R102" i="9"/>
  <c r="R101" i="9"/>
  <c r="R100" i="9"/>
  <c r="R99" i="9"/>
  <c r="R98" i="9"/>
  <c r="R97" i="9"/>
  <c r="R96" i="9"/>
  <c r="R95" i="9"/>
  <c r="R94" i="9"/>
  <c r="R93" i="9"/>
  <c r="R92" i="9"/>
  <c r="R91" i="9"/>
  <c r="R90" i="9"/>
  <c r="R89" i="9"/>
  <c r="R88" i="9"/>
  <c r="R87" i="9"/>
  <c r="R86" i="9"/>
  <c r="R85" i="9"/>
  <c r="R84" i="9"/>
  <c r="R83" i="9"/>
  <c r="R82" i="9"/>
  <c r="R81" i="9"/>
  <c r="R80" i="9"/>
  <c r="R79" i="9"/>
  <c r="R78" i="9"/>
  <c r="R77" i="9"/>
  <c r="R76" i="9"/>
  <c r="R75" i="9"/>
  <c r="R74" i="9"/>
  <c r="R73" i="9"/>
  <c r="R72" i="9"/>
  <c r="R71" i="9"/>
  <c r="R70" i="9"/>
  <c r="R69" i="9"/>
  <c r="R68" i="9"/>
  <c r="R67" i="9"/>
  <c r="R66" i="9"/>
  <c r="R65" i="9"/>
  <c r="R64" i="9"/>
  <c r="R63" i="9"/>
  <c r="R62" i="9"/>
  <c r="R61" i="9"/>
  <c r="R60" i="9"/>
  <c r="R59" i="9"/>
  <c r="R58" i="9"/>
  <c r="R57" i="9"/>
  <c r="R56" i="9"/>
  <c r="R55" i="9"/>
  <c r="R54" i="9"/>
  <c r="R53" i="9"/>
  <c r="R52" i="9"/>
  <c r="R51" i="9"/>
  <c r="R50" i="9"/>
  <c r="R49" i="9"/>
  <c r="R48" i="9"/>
  <c r="R47" i="9"/>
  <c r="R46" i="9"/>
  <c r="R45" i="9"/>
  <c r="R44" i="9"/>
  <c r="R43" i="9"/>
  <c r="R42" i="9"/>
  <c r="R41" i="9"/>
  <c r="R40" i="9"/>
  <c r="R39" i="9"/>
  <c r="R38" i="9"/>
  <c r="R37" i="9"/>
  <c r="R36" i="9"/>
  <c r="R35" i="9"/>
  <c r="R34" i="9"/>
  <c r="R33" i="9"/>
  <c r="R32" i="9"/>
  <c r="R31" i="9"/>
  <c r="R30" i="9"/>
  <c r="R29" i="9"/>
  <c r="R28" i="9"/>
  <c r="R27" i="9"/>
  <c r="R26" i="9"/>
  <c r="R25" i="9"/>
  <c r="R24" i="9"/>
  <c r="R23" i="9"/>
  <c r="R22" i="9"/>
  <c r="R21" i="9"/>
  <c r="R20" i="9"/>
  <c r="R19" i="9"/>
  <c r="C16" i="9"/>
  <c r="D16" i="9"/>
  <c r="I16" i="9"/>
  <c r="J16" i="9"/>
  <c r="K16" i="9"/>
  <c r="H17" i="9"/>
  <c r="H16" i="9"/>
  <c r="V16" i="9"/>
  <c r="V17" i="9"/>
  <c r="W17" i="9"/>
  <c r="X17" i="9"/>
  <c r="Q17" i="9"/>
  <c r="AD19" i="9"/>
  <c r="AD20" i="9"/>
  <c r="AD21" i="9"/>
  <c r="AD22" i="9"/>
  <c r="AD23" i="9"/>
  <c r="AD24" i="9"/>
  <c r="AD25" i="9"/>
  <c r="AD26" i="9"/>
  <c r="AD27" i="9"/>
  <c r="AD28" i="9"/>
  <c r="AD29" i="9"/>
  <c r="AD30" i="9"/>
  <c r="AD31" i="9"/>
  <c r="AD32" i="9"/>
  <c r="AD33" i="9"/>
  <c r="AD34" i="9"/>
  <c r="AD35" i="9"/>
  <c r="AD36" i="9"/>
  <c r="AD37" i="9"/>
  <c r="AD38" i="9"/>
  <c r="AD39" i="9"/>
  <c r="AD40" i="9"/>
  <c r="AD41" i="9"/>
  <c r="AD42" i="9"/>
  <c r="AD43" i="9"/>
  <c r="AD44" i="9"/>
  <c r="AD45" i="9"/>
  <c r="AD46" i="9"/>
  <c r="AD47" i="9"/>
  <c r="AD48" i="9"/>
  <c r="AD49" i="9"/>
  <c r="AD50" i="9"/>
  <c r="AD51" i="9"/>
  <c r="AD52" i="9"/>
  <c r="AD53" i="9"/>
  <c r="AD54" i="9"/>
  <c r="AD55" i="9"/>
  <c r="AD56" i="9"/>
  <c r="AD57" i="9"/>
  <c r="AD58" i="9"/>
  <c r="AD59" i="9"/>
  <c r="AD60" i="9"/>
  <c r="AD61" i="9"/>
  <c r="AD62" i="9"/>
  <c r="AD63" i="9"/>
  <c r="AD64" i="9"/>
  <c r="AD65" i="9"/>
  <c r="AD66" i="9"/>
  <c r="AD67" i="9"/>
  <c r="AD68" i="9"/>
  <c r="AD69" i="9"/>
  <c r="AD70" i="9"/>
  <c r="AD71" i="9"/>
  <c r="AD72" i="9"/>
  <c r="AD73" i="9"/>
  <c r="AD74" i="9"/>
  <c r="AD75" i="9"/>
  <c r="AD76" i="9"/>
  <c r="AD77" i="9"/>
  <c r="AD78" i="9"/>
  <c r="AD79" i="9"/>
  <c r="AD80" i="9"/>
  <c r="AD81" i="9"/>
  <c r="AD82" i="9"/>
  <c r="AD83" i="9"/>
  <c r="AD84" i="9"/>
  <c r="AD85" i="9"/>
  <c r="AD86" i="9"/>
  <c r="AD87" i="9"/>
  <c r="AD88" i="9"/>
  <c r="AD89" i="9"/>
  <c r="AD90" i="9"/>
  <c r="AD91" i="9"/>
  <c r="AD92" i="9"/>
  <c r="AD93" i="9"/>
  <c r="AD94" i="9"/>
  <c r="AD95" i="9"/>
  <c r="AD96" i="9"/>
  <c r="AD97" i="9"/>
  <c r="AD98" i="9"/>
  <c r="AD99" i="9"/>
  <c r="AD100" i="9"/>
  <c r="AD101" i="9"/>
  <c r="AD102" i="9"/>
  <c r="AD103" i="9"/>
  <c r="P16" i="9"/>
  <c r="X16" i="9"/>
  <c r="Q16" i="9"/>
  <c r="W16" i="9"/>
  <c r="D16" i="17"/>
  <c r="D24" i="17"/>
  <c r="D14" i="16"/>
  <c r="D20" i="16"/>
  <c r="R16" i="9"/>
  <c r="G4" i="9"/>
  <c r="I4" i="9"/>
  <c r="D23" i="16"/>
  <c r="D25" i="16"/>
  <c r="Y19" i="9"/>
  <c r="Y20" i="9"/>
  <c r="Y21" i="9"/>
  <c r="Y22" i="9"/>
  <c r="Y23" i="9"/>
  <c r="Y24" i="9"/>
  <c r="Y25" i="9"/>
  <c r="Y26" i="9"/>
  <c r="Y27" i="9"/>
  <c r="Y28" i="9"/>
  <c r="Y29" i="9"/>
  <c r="Y30" i="9"/>
  <c r="Y31" i="9"/>
  <c r="Y32" i="9"/>
  <c r="Y33" i="9"/>
  <c r="Y34" i="9"/>
  <c r="Y35" i="9"/>
  <c r="Y36" i="9"/>
  <c r="Y37" i="9"/>
  <c r="Y38" i="9"/>
  <c r="Y39" i="9"/>
  <c r="Y40" i="9"/>
  <c r="Y41" i="9"/>
  <c r="Y42" i="9"/>
  <c r="Y43" i="9"/>
  <c r="Y44" i="9"/>
  <c r="Y45" i="9"/>
  <c r="Y46" i="9"/>
  <c r="Y47" i="9"/>
  <c r="Y48" i="9"/>
  <c r="Y49" i="9"/>
  <c r="Y50" i="9"/>
  <c r="Y51" i="9"/>
  <c r="Y52" i="9"/>
  <c r="Y53" i="9"/>
  <c r="Y54" i="9"/>
  <c r="Y55" i="9"/>
  <c r="Y56" i="9"/>
  <c r="Y57" i="9"/>
  <c r="Y58" i="9"/>
  <c r="Y59" i="9"/>
  <c r="Y60" i="9"/>
  <c r="Y61" i="9"/>
  <c r="Y62" i="9"/>
  <c r="Y63" i="9"/>
  <c r="Y64" i="9"/>
  <c r="Y65" i="9"/>
  <c r="Y66" i="9"/>
  <c r="Y67" i="9"/>
  <c r="Y68" i="9"/>
  <c r="Y69" i="9"/>
  <c r="Y70" i="9"/>
  <c r="Y71" i="9"/>
  <c r="Y72" i="9"/>
  <c r="Y73" i="9"/>
  <c r="Y74" i="9"/>
  <c r="Y75" i="9"/>
  <c r="Y76" i="9"/>
  <c r="Y77" i="9"/>
  <c r="Y78" i="9"/>
  <c r="Y79" i="9"/>
  <c r="Y80" i="9"/>
  <c r="Y81" i="9"/>
  <c r="Y82" i="9"/>
  <c r="Y83" i="9"/>
  <c r="Y84" i="9"/>
  <c r="Y85" i="9"/>
  <c r="Y86" i="9"/>
  <c r="Y87" i="9"/>
  <c r="Y88" i="9"/>
  <c r="Y89" i="9"/>
  <c r="Y90" i="9"/>
  <c r="Y91" i="9"/>
  <c r="Y92" i="9"/>
  <c r="Y93" i="9"/>
  <c r="Y94" i="9"/>
  <c r="Y95" i="9"/>
  <c r="Y96" i="9"/>
  <c r="Y97" i="9"/>
  <c r="Y98" i="9"/>
  <c r="Y99" i="9"/>
  <c r="Y100" i="9"/>
  <c r="Y101" i="9"/>
  <c r="Y102" i="9"/>
  <c r="Y103" i="9"/>
  <c r="Y16" i="9"/>
  <c r="K14" i="9"/>
  <c r="G5" i="9"/>
  <c r="C31" i="7"/>
  <c r="D31" i="7"/>
  <c r="C25" i="7"/>
  <c r="D25" i="7"/>
  <c r="AB19" i="9"/>
  <c r="AB20" i="9"/>
  <c r="AB21" i="9"/>
  <c r="AB22" i="9"/>
  <c r="AB23" i="9"/>
  <c r="AB24" i="9"/>
  <c r="AB25" i="9"/>
  <c r="AB26" i="9"/>
  <c r="AB27" i="9"/>
  <c r="AB28" i="9"/>
  <c r="AB29" i="9"/>
  <c r="AB30" i="9"/>
  <c r="AB31" i="9"/>
  <c r="AB32" i="9"/>
  <c r="AB33" i="9"/>
  <c r="AB34" i="9"/>
  <c r="AB35" i="9"/>
  <c r="AB36" i="9"/>
  <c r="AB37" i="9"/>
  <c r="AB38" i="9"/>
  <c r="AB39" i="9"/>
  <c r="AB40" i="9"/>
  <c r="D16" i="16"/>
  <c r="D24" i="16"/>
  <c r="D13" i="16"/>
  <c r="D15" i="16"/>
  <c r="S103" i="9"/>
  <c r="T103" i="9"/>
  <c r="U103" i="9"/>
  <c r="S102" i="9"/>
  <c r="T102" i="9"/>
  <c r="U102" i="9"/>
  <c r="S101" i="9"/>
  <c r="T101" i="9"/>
  <c r="U101" i="9"/>
  <c r="S100" i="9"/>
  <c r="T100" i="9"/>
  <c r="U100" i="9"/>
  <c r="S99" i="9"/>
  <c r="T99" i="9"/>
  <c r="U99" i="9"/>
  <c r="S98" i="9"/>
  <c r="T98" i="9"/>
  <c r="U98" i="9"/>
  <c r="S97" i="9"/>
  <c r="T97" i="9"/>
  <c r="U97" i="9"/>
  <c r="S96" i="9"/>
  <c r="T96" i="9"/>
  <c r="U96" i="9"/>
  <c r="S95" i="9"/>
  <c r="T95" i="9"/>
  <c r="U95" i="9"/>
  <c r="S94" i="9"/>
  <c r="T94" i="9"/>
  <c r="U94" i="9"/>
  <c r="S93" i="9"/>
  <c r="T93" i="9"/>
  <c r="U93" i="9"/>
  <c r="S92" i="9"/>
  <c r="T92" i="9"/>
  <c r="U92" i="9"/>
  <c r="S91" i="9"/>
  <c r="T91" i="9"/>
  <c r="U91" i="9"/>
  <c r="S90" i="9"/>
  <c r="T90" i="9"/>
  <c r="U90" i="9"/>
  <c r="S89" i="9"/>
  <c r="T89" i="9"/>
  <c r="U89" i="9"/>
  <c r="S88" i="9"/>
  <c r="T88" i="9"/>
  <c r="U88" i="9"/>
  <c r="S87" i="9"/>
  <c r="T87" i="9"/>
  <c r="U87" i="9"/>
  <c r="S86" i="9"/>
  <c r="T86" i="9"/>
  <c r="U86" i="9"/>
  <c r="S85" i="9"/>
  <c r="T85" i="9"/>
  <c r="U85" i="9"/>
  <c r="S84" i="9"/>
  <c r="T84" i="9"/>
  <c r="U84" i="9"/>
  <c r="S83" i="9"/>
  <c r="T83" i="9"/>
  <c r="U83" i="9"/>
  <c r="S82" i="9"/>
  <c r="T82" i="9"/>
  <c r="U82" i="9"/>
  <c r="S81" i="9"/>
  <c r="T81" i="9"/>
  <c r="U81" i="9"/>
  <c r="S80" i="9"/>
  <c r="T80" i="9"/>
  <c r="U80" i="9"/>
  <c r="S79" i="9"/>
  <c r="T79" i="9"/>
  <c r="U79" i="9"/>
  <c r="S78" i="9"/>
  <c r="T78" i="9"/>
  <c r="U78" i="9"/>
  <c r="S77" i="9"/>
  <c r="T77" i="9"/>
  <c r="U77" i="9"/>
  <c r="S76" i="9"/>
  <c r="T76" i="9"/>
  <c r="U76" i="9"/>
  <c r="S75" i="9"/>
  <c r="T75" i="9"/>
  <c r="U75" i="9"/>
  <c r="S74" i="9"/>
  <c r="T74" i="9"/>
  <c r="U74" i="9"/>
  <c r="S73" i="9"/>
  <c r="T73" i="9"/>
  <c r="U73" i="9"/>
  <c r="S72" i="9"/>
  <c r="T72" i="9"/>
  <c r="U72" i="9"/>
  <c r="S71" i="9"/>
  <c r="T71" i="9"/>
  <c r="U71" i="9"/>
  <c r="S70" i="9"/>
  <c r="T70" i="9"/>
  <c r="U70" i="9"/>
  <c r="S69" i="9"/>
  <c r="T69" i="9"/>
  <c r="U69" i="9"/>
  <c r="S68" i="9"/>
  <c r="T68" i="9"/>
  <c r="U68" i="9"/>
  <c r="S67" i="9"/>
  <c r="T67" i="9"/>
  <c r="U67" i="9"/>
  <c r="S66" i="9"/>
  <c r="T66" i="9"/>
  <c r="U66" i="9"/>
  <c r="S65" i="9"/>
  <c r="T65" i="9"/>
  <c r="U65" i="9"/>
  <c r="S64" i="9"/>
  <c r="T64" i="9"/>
  <c r="U64" i="9"/>
  <c r="S63" i="9"/>
  <c r="T63" i="9"/>
  <c r="U63" i="9"/>
  <c r="S62" i="9"/>
  <c r="T62" i="9"/>
  <c r="U62" i="9"/>
  <c r="S61" i="9"/>
  <c r="T61" i="9"/>
  <c r="U61" i="9"/>
  <c r="S60" i="9"/>
  <c r="T60" i="9"/>
  <c r="U60" i="9"/>
  <c r="S59" i="9"/>
  <c r="T59" i="9"/>
  <c r="U59" i="9"/>
  <c r="S58" i="9"/>
  <c r="T58" i="9"/>
  <c r="U58" i="9"/>
  <c r="S57" i="9"/>
  <c r="T57" i="9"/>
  <c r="U57" i="9"/>
  <c r="S56" i="9"/>
  <c r="T56" i="9"/>
  <c r="U56" i="9"/>
  <c r="S55" i="9"/>
  <c r="T55" i="9"/>
  <c r="U55" i="9"/>
  <c r="S54" i="9"/>
  <c r="T54" i="9"/>
  <c r="U54" i="9"/>
  <c r="S53" i="9"/>
  <c r="T53" i="9"/>
  <c r="U53" i="9"/>
  <c r="S52" i="9"/>
  <c r="T52" i="9"/>
  <c r="U52" i="9"/>
  <c r="S51" i="9"/>
  <c r="T51" i="9"/>
  <c r="U51" i="9"/>
  <c r="S50" i="9"/>
  <c r="T50" i="9"/>
  <c r="U50" i="9"/>
  <c r="S49" i="9"/>
  <c r="T49" i="9"/>
  <c r="U49" i="9"/>
  <c r="S48" i="9"/>
  <c r="T48" i="9"/>
  <c r="U48" i="9"/>
  <c r="S47" i="9"/>
  <c r="T47" i="9"/>
  <c r="U47" i="9"/>
  <c r="S46" i="9"/>
  <c r="T46" i="9"/>
  <c r="U46" i="9"/>
  <c r="S45" i="9"/>
  <c r="T45" i="9"/>
  <c r="U45" i="9"/>
  <c r="S44" i="9"/>
  <c r="T44" i="9"/>
  <c r="U44" i="9"/>
  <c r="S43" i="9"/>
  <c r="T43" i="9"/>
  <c r="U43" i="9"/>
  <c r="S42" i="9"/>
  <c r="T42" i="9"/>
  <c r="U42" i="9"/>
  <c r="S41" i="9"/>
  <c r="T41" i="9"/>
  <c r="U41" i="9"/>
  <c r="S40" i="9"/>
  <c r="T40" i="9"/>
  <c r="U40" i="9"/>
  <c r="S39" i="9"/>
  <c r="T39" i="9"/>
  <c r="U39" i="9"/>
  <c r="S38" i="9"/>
  <c r="T38" i="9"/>
  <c r="U38" i="9"/>
  <c r="S37" i="9"/>
  <c r="T37" i="9"/>
  <c r="U37" i="9"/>
  <c r="S36" i="9"/>
  <c r="T36" i="9"/>
  <c r="U36" i="9"/>
  <c r="S35" i="9"/>
  <c r="T35" i="9"/>
  <c r="U35" i="9"/>
  <c r="S34" i="9"/>
  <c r="T34" i="9"/>
  <c r="U34" i="9"/>
  <c r="S33" i="9"/>
  <c r="T33" i="9"/>
  <c r="U33" i="9"/>
  <c r="S32" i="9"/>
  <c r="T32" i="9"/>
  <c r="U32" i="9"/>
  <c r="S31" i="9"/>
  <c r="T31" i="9"/>
  <c r="U31" i="9"/>
  <c r="S30" i="9"/>
  <c r="T30" i="9"/>
  <c r="U30" i="9"/>
  <c r="S29" i="9"/>
  <c r="T29" i="9"/>
  <c r="U29" i="9"/>
  <c r="S28" i="9"/>
  <c r="T28" i="9"/>
  <c r="U28" i="9"/>
  <c r="S27" i="9"/>
  <c r="T27" i="9"/>
  <c r="U27" i="9"/>
  <c r="S26" i="9"/>
  <c r="T26" i="9"/>
  <c r="U26" i="9"/>
  <c r="S25" i="9"/>
  <c r="T25" i="9"/>
  <c r="U25" i="9"/>
  <c r="S24" i="9"/>
  <c r="T24" i="9"/>
  <c r="U24" i="9"/>
  <c r="S23" i="9"/>
  <c r="T23" i="9"/>
  <c r="U23" i="9"/>
  <c r="S22" i="9"/>
  <c r="T22" i="9"/>
  <c r="U22" i="9"/>
  <c r="S21" i="9"/>
  <c r="T21" i="9"/>
  <c r="U21" i="9"/>
  <c r="S20" i="9"/>
  <c r="T20" i="9"/>
  <c r="U20" i="9"/>
  <c r="S19" i="9"/>
  <c r="T19" i="9"/>
  <c r="U19" i="9"/>
  <c r="G8" i="9"/>
  <c r="I8" i="9"/>
  <c r="H4" i="9"/>
  <c r="D19" i="16"/>
  <c r="I5" i="9"/>
  <c r="D22" i="16"/>
  <c r="P17" i="9"/>
  <c r="D14" i="17"/>
  <c r="D20" i="17"/>
  <c r="D13" i="17"/>
  <c r="D15" i="17"/>
  <c r="D19" i="17"/>
  <c r="G9" i="9"/>
  <c r="D21" i="16"/>
  <c r="D21" i="17"/>
  <c r="E16" i="11"/>
  <c r="F14" i="11"/>
  <c r="G103" i="11"/>
  <c r="N103" i="11"/>
  <c r="L103" i="11"/>
  <c r="G102" i="11"/>
  <c r="N102" i="11"/>
  <c r="L102" i="11"/>
  <c r="G101" i="11"/>
  <c r="N101" i="11"/>
  <c r="L101" i="11"/>
  <c r="G100" i="11"/>
  <c r="N100" i="11"/>
  <c r="L100" i="11"/>
  <c r="G99" i="11"/>
  <c r="N99" i="11"/>
  <c r="L99" i="11"/>
  <c r="G98" i="11"/>
  <c r="N98" i="11"/>
  <c r="L98" i="11"/>
  <c r="G97" i="11"/>
  <c r="N97" i="11"/>
  <c r="L97" i="11"/>
  <c r="G96" i="11"/>
  <c r="N96" i="11"/>
  <c r="L96" i="11"/>
  <c r="G95" i="11"/>
  <c r="N95" i="11"/>
  <c r="L95" i="11"/>
  <c r="G94" i="11"/>
  <c r="N94" i="11"/>
  <c r="L94" i="11"/>
  <c r="G93" i="11"/>
  <c r="N93" i="11"/>
  <c r="L93" i="11"/>
  <c r="G92" i="11"/>
  <c r="N92" i="11"/>
  <c r="L92" i="11"/>
  <c r="G91" i="11"/>
  <c r="N91" i="11"/>
  <c r="L91" i="11"/>
  <c r="G90" i="11"/>
  <c r="N90" i="11"/>
  <c r="L90" i="11"/>
  <c r="G89" i="11"/>
  <c r="N89" i="11"/>
  <c r="L89" i="11"/>
  <c r="G88" i="11"/>
  <c r="N88" i="11"/>
  <c r="L88" i="11"/>
  <c r="G87" i="11"/>
  <c r="N87" i="11"/>
  <c r="L87" i="11"/>
  <c r="G86" i="11"/>
  <c r="N86" i="11"/>
  <c r="L86" i="11"/>
  <c r="G85" i="11"/>
  <c r="N85" i="11"/>
  <c r="L85" i="11"/>
  <c r="G84" i="11"/>
  <c r="N84" i="11"/>
  <c r="L84" i="11"/>
  <c r="G83" i="11"/>
  <c r="N83" i="11"/>
  <c r="L83" i="11"/>
  <c r="G82" i="11"/>
  <c r="N82" i="11"/>
  <c r="L82" i="11"/>
  <c r="G81" i="11"/>
  <c r="N81" i="11"/>
  <c r="L81" i="11"/>
  <c r="G80" i="11"/>
  <c r="N80" i="11"/>
  <c r="L80" i="11"/>
  <c r="G79" i="11"/>
  <c r="N79" i="11"/>
  <c r="L79" i="11"/>
  <c r="G78" i="11"/>
  <c r="N78" i="11"/>
  <c r="L78" i="11"/>
  <c r="G77" i="11"/>
  <c r="N77" i="11"/>
  <c r="L77" i="11"/>
  <c r="G76" i="11"/>
  <c r="N76" i="11"/>
  <c r="L76" i="11"/>
  <c r="G75" i="11"/>
  <c r="N75" i="11"/>
  <c r="L75" i="11"/>
  <c r="G74" i="11"/>
  <c r="N74" i="11"/>
  <c r="L74" i="11"/>
  <c r="G73" i="11"/>
  <c r="N73" i="11"/>
  <c r="L73" i="11"/>
  <c r="G72" i="11"/>
  <c r="N72" i="11"/>
  <c r="L72" i="11"/>
  <c r="G71" i="11"/>
  <c r="N71" i="11"/>
  <c r="L71" i="11"/>
  <c r="G70" i="11"/>
  <c r="N70" i="11"/>
  <c r="L70" i="11"/>
  <c r="G69" i="11"/>
  <c r="N69" i="11"/>
  <c r="L69" i="11"/>
  <c r="G68" i="11"/>
  <c r="N68" i="11"/>
  <c r="L68" i="11"/>
  <c r="G67" i="11"/>
  <c r="N67" i="11"/>
  <c r="L67" i="11"/>
  <c r="G66" i="11"/>
  <c r="N66" i="11"/>
  <c r="L66" i="11"/>
  <c r="G65" i="11"/>
  <c r="N65" i="11"/>
  <c r="L65" i="11"/>
  <c r="G64" i="11"/>
  <c r="N64" i="11"/>
  <c r="L64" i="11"/>
  <c r="G63" i="11"/>
  <c r="N63" i="11"/>
  <c r="L63" i="11"/>
  <c r="G62" i="11"/>
  <c r="N62" i="11"/>
  <c r="L62" i="11"/>
  <c r="G61" i="11"/>
  <c r="N61" i="11"/>
  <c r="L61" i="11"/>
  <c r="G60" i="11"/>
  <c r="N60" i="11"/>
  <c r="L60" i="11"/>
  <c r="G59" i="11"/>
  <c r="N59" i="11"/>
  <c r="L59" i="11"/>
  <c r="G58" i="11"/>
  <c r="N58" i="11"/>
  <c r="L58" i="11"/>
  <c r="G57" i="11"/>
  <c r="N57" i="11"/>
  <c r="L57" i="11"/>
  <c r="G56" i="11"/>
  <c r="N56" i="11"/>
  <c r="L56" i="11"/>
  <c r="G55" i="11"/>
  <c r="N55" i="11"/>
  <c r="L55" i="11"/>
  <c r="G54" i="11"/>
  <c r="N54" i="11"/>
  <c r="L54" i="11"/>
  <c r="G53" i="11"/>
  <c r="N53" i="11"/>
  <c r="L53" i="11"/>
  <c r="G52" i="11"/>
  <c r="N52" i="11"/>
  <c r="L52" i="11"/>
  <c r="G51" i="11"/>
  <c r="N51" i="11"/>
  <c r="L51" i="11"/>
  <c r="G50" i="11"/>
  <c r="N50" i="11"/>
  <c r="L50" i="11"/>
  <c r="G49" i="11"/>
  <c r="N49" i="11"/>
  <c r="L49" i="11"/>
  <c r="G48" i="11"/>
  <c r="N48" i="11"/>
  <c r="L48" i="11"/>
  <c r="G47" i="11"/>
  <c r="N47" i="11"/>
  <c r="L47" i="11"/>
  <c r="G46" i="11"/>
  <c r="N46" i="11"/>
  <c r="L46" i="11"/>
  <c r="G45" i="11"/>
  <c r="N45" i="11"/>
  <c r="L45" i="11"/>
  <c r="G44" i="11"/>
  <c r="N44" i="11"/>
  <c r="L44" i="11"/>
  <c r="G39" i="11"/>
  <c r="N39" i="11"/>
  <c r="L39" i="11"/>
  <c r="G38" i="11"/>
  <c r="N38" i="11"/>
  <c r="L38" i="11"/>
  <c r="G37" i="11"/>
  <c r="N37" i="11"/>
  <c r="L37" i="11"/>
  <c r="G36" i="11"/>
  <c r="N36" i="11"/>
  <c r="L36" i="11"/>
  <c r="G35" i="11"/>
  <c r="N35" i="11"/>
  <c r="L35" i="11"/>
  <c r="G34" i="11"/>
  <c r="N34" i="11"/>
  <c r="L34" i="11"/>
  <c r="G33" i="11"/>
  <c r="N33" i="11"/>
  <c r="L33" i="11"/>
  <c r="G32" i="11"/>
  <c r="N32" i="11"/>
  <c r="L32" i="11"/>
  <c r="G31" i="11"/>
  <c r="N31" i="11"/>
  <c r="L31" i="11"/>
  <c r="G30" i="11"/>
  <c r="N30" i="11"/>
  <c r="L30" i="11"/>
  <c r="G29" i="11"/>
  <c r="N29" i="11"/>
  <c r="L29" i="11"/>
  <c r="G28" i="11"/>
  <c r="N28" i="11"/>
  <c r="L28" i="11"/>
  <c r="G27" i="11"/>
  <c r="N27" i="11"/>
  <c r="L27" i="11"/>
  <c r="G26" i="11"/>
  <c r="N26" i="11"/>
  <c r="L26" i="11"/>
  <c r="G25" i="11"/>
  <c r="N25" i="11"/>
  <c r="L25" i="11"/>
  <c r="G24" i="11"/>
  <c r="N24" i="11"/>
  <c r="L24" i="11"/>
  <c r="G23" i="11"/>
  <c r="N23" i="11"/>
  <c r="L23" i="11"/>
  <c r="G22" i="11"/>
  <c r="N22" i="11"/>
  <c r="L22" i="11"/>
  <c r="G21" i="11"/>
  <c r="N21" i="11"/>
  <c r="L21" i="11"/>
  <c r="G20" i="11"/>
  <c r="N20" i="11"/>
  <c r="L20" i="11"/>
  <c r="G19" i="11"/>
  <c r="N19" i="11"/>
  <c r="L19" i="11"/>
  <c r="M103" i="11"/>
  <c r="P103" i="11"/>
  <c r="Q103" i="11"/>
  <c r="M102" i="11"/>
  <c r="P102" i="11"/>
  <c r="Q102" i="11"/>
  <c r="M101" i="11"/>
  <c r="P101" i="11"/>
  <c r="Q101" i="11"/>
  <c r="M100" i="11"/>
  <c r="P100" i="11"/>
  <c r="Q100" i="11"/>
  <c r="M99" i="11"/>
  <c r="P99" i="11"/>
  <c r="Q99" i="11"/>
  <c r="M98" i="11"/>
  <c r="P98" i="11"/>
  <c r="Q98" i="11"/>
  <c r="M97" i="11"/>
  <c r="P97" i="11"/>
  <c r="Q97" i="11"/>
  <c r="M96" i="11"/>
  <c r="P96" i="11"/>
  <c r="Q96" i="11"/>
  <c r="M95" i="11"/>
  <c r="P95" i="11"/>
  <c r="Q95" i="11"/>
  <c r="M94" i="11"/>
  <c r="P94" i="11"/>
  <c r="Q94" i="11"/>
  <c r="M93" i="11"/>
  <c r="P93" i="11"/>
  <c r="Q93" i="11"/>
  <c r="M92" i="11"/>
  <c r="P92" i="11"/>
  <c r="Q92" i="11"/>
  <c r="M91" i="11"/>
  <c r="P91" i="11"/>
  <c r="Q91" i="11"/>
  <c r="M90" i="11"/>
  <c r="P90" i="11"/>
  <c r="Q90" i="11"/>
  <c r="M89" i="11"/>
  <c r="P89" i="11"/>
  <c r="Q89" i="11"/>
  <c r="M88" i="11"/>
  <c r="P88" i="11"/>
  <c r="Q88" i="11"/>
  <c r="M87" i="11"/>
  <c r="P87" i="11"/>
  <c r="Q87" i="11"/>
  <c r="M86" i="11"/>
  <c r="P86" i="11"/>
  <c r="Q86" i="11"/>
  <c r="M85" i="11"/>
  <c r="P85" i="11"/>
  <c r="Q85" i="11"/>
  <c r="M84" i="11"/>
  <c r="P84" i="11"/>
  <c r="Q84" i="11"/>
  <c r="M83" i="11"/>
  <c r="P83" i="11"/>
  <c r="Q83" i="11"/>
  <c r="M82" i="11"/>
  <c r="P82" i="11"/>
  <c r="Q82" i="11"/>
  <c r="M81" i="11"/>
  <c r="P81" i="11"/>
  <c r="Q81" i="11"/>
  <c r="M80" i="11"/>
  <c r="P80" i="11"/>
  <c r="Q80" i="11"/>
  <c r="M79" i="11"/>
  <c r="P79" i="11"/>
  <c r="Q79" i="11"/>
  <c r="M78" i="11"/>
  <c r="P78" i="11"/>
  <c r="Q78" i="11"/>
  <c r="M77" i="11"/>
  <c r="P77" i="11"/>
  <c r="Q77" i="11"/>
  <c r="M76" i="11"/>
  <c r="P76" i="11"/>
  <c r="Q76" i="11"/>
  <c r="M75" i="11"/>
  <c r="P75" i="11"/>
  <c r="Q75" i="11"/>
  <c r="M74" i="11"/>
  <c r="P74" i="11"/>
  <c r="Q74" i="11"/>
  <c r="M73" i="11"/>
  <c r="P73" i="11"/>
  <c r="Q73" i="11"/>
  <c r="M72" i="11"/>
  <c r="P72" i="11"/>
  <c r="Q72" i="11"/>
  <c r="M71" i="11"/>
  <c r="P71" i="11"/>
  <c r="Q71" i="11"/>
  <c r="M70" i="11"/>
  <c r="P70" i="11"/>
  <c r="Q70" i="11"/>
  <c r="M69" i="11"/>
  <c r="P69" i="11"/>
  <c r="Q69" i="11"/>
  <c r="M68" i="11"/>
  <c r="P68" i="11"/>
  <c r="Q68" i="11"/>
  <c r="M67" i="11"/>
  <c r="P67" i="11"/>
  <c r="Q67" i="11"/>
  <c r="M66" i="11"/>
  <c r="P66" i="11"/>
  <c r="Q66" i="11"/>
  <c r="M65" i="11"/>
  <c r="P65" i="11"/>
  <c r="Q65" i="11"/>
  <c r="M64" i="11"/>
  <c r="P64" i="11"/>
  <c r="Q64" i="11"/>
  <c r="M63" i="11"/>
  <c r="P63" i="11"/>
  <c r="Q63" i="11"/>
  <c r="M62" i="11"/>
  <c r="P62" i="11"/>
  <c r="Q62" i="11"/>
  <c r="M61" i="11"/>
  <c r="P61" i="11"/>
  <c r="Q61" i="11"/>
  <c r="M60" i="11"/>
  <c r="P60" i="11"/>
  <c r="Q60" i="11"/>
  <c r="M59" i="11"/>
  <c r="P59" i="11"/>
  <c r="Q59" i="11"/>
  <c r="M58" i="11"/>
  <c r="P58" i="11"/>
  <c r="Q58" i="11"/>
  <c r="M57" i="11"/>
  <c r="P57" i="11"/>
  <c r="Q57" i="11"/>
  <c r="M56" i="11"/>
  <c r="P56" i="11"/>
  <c r="Q56" i="11"/>
  <c r="M55" i="11"/>
  <c r="P55" i="11"/>
  <c r="Q55" i="11"/>
  <c r="M54" i="11"/>
  <c r="P54" i="11"/>
  <c r="Q54" i="11"/>
  <c r="M53" i="11"/>
  <c r="P53" i="11"/>
  <c r="Q53" i="11"/>
  <c r="M52" i="11"/>
  <c r="P52" i="11"/>
  <c r="Q52" i="11"/>
  <c r="M51" i="11"/>
  <c r="P51" i="11"/>
  <c r="Q51" i="11"/>
  <c r="M50" i="11"/>
  <c r="P50" i="11"/>
  <c r="Q50" i="11"/>
  <c r="M49" i="11"/>
  <c r="P49" i="11"/>
  <c r="Q49" i="11"/>
  <c r="M48" i="11"/>
  <c r="P48" i="11"/>
  <c r="Q48" i="11"/>
  <c r="M47" i="11"/>
  <c r="P47" i="11"/>
  <c r="Q47" i="11"/>
  <c r="M46" i="11"/>
  <c r="P46" i="11"/>
  <c r="Q46" i="11"/>
  <c r="M45" i="11"/>
  <c r="P45" i="11"/>
  <c r="Q45" i="11"/>
  <c r="M44" i="11"/>
  <c r="P44" i="11"/>
  <c r="Q44" i="11"/>
  <c r="G43" i="11"/>
  <c r="N43" i="11"/>
  <c r="L43" i="11"/>
  <c r="M43" i="11"/>
  <c r="P43" i="11"/>
  <c r="Q43" i="11"/>
  <c r="G42" i="11"/>
  <c r="N42" i="11"/>
  <c r="L42" i="11"/>
  <c r="M42" i="11"/>
  <c r="P42" i="11"/>
  <c r="Q42" i="11"/>
  <c r="G41" i="11"/>
  <c r="N41" i="11"/>
  <c r="L41" i="11"/>
  <c r="M41" i="11"/>
  <c r="P41" i="11"/>
  <c r="Q41" i="11"/>
  <c r="G40" i="11"/>
  <c r="N40" i="11"/>
  <c r="L40" i="11"/>
  <c r="M40" i="11"/>
  <c r="P40" i="11"/>
  <c r="Q40" i="11"/>
  <c r="M39" i="11"/>
  <c r="P39" i="11"/>
  <c r="Q39" i="11"/>
  <c r="M38" i="11"/>
  <c r="P38" i="11"/>
  <c r="Q38" i="11"/>
  <c r="M37" i="11"/>
  <c r="P37" i="11"/>
  <c r="Q37" i="11"/>
  <c r="M36" i="11"/>
  <c r="P36" i="11"/>
  <c r="Q36" i="11"/>
  <c r="M35" i="11"/>
  <c r="P35" i="11"/>
  <c r="Q35" i="11"/>
  <c r="M34" i="11"/>
  <c r="P34" i="11"/>
  <c r="Q34" i="11"/>
  <c r="M33" i="11"/>
  <c r="P33" i="11"/>
  <c r="Q33" i="11"/>
  <c r="M32" i="11"/>
  <c r="P32" i="11"/>
  <c r="Q32" i="11"/>
  <c r="M31" i="11"/>
  <c r="P31" i="11"/>
  <c r="Q31" i="11"/>
  <c r="M30" i="11"/>
  <c r="P30" i="11"/>
  <c r="Q30" i="11"/>
  <c r="M29" i="11"/>
  <c r="P29" i="11"/>
  <c r="Q29" i="11"/>
  <c r="M28" i="11"/>
  <c r="P28" i="11"/>
  <c r="Q28" i="11"/>
  <c r="M27" i="11"/>
  <c r="P27" i="11"/>
  <c r="Q27" i="11"/>
  <c r="M26" i="11"/>
  <c r="P26" i="11"/>
  <c r="Q26" i="11"/>
  <c r="M25" i="11"/>
  <c r="P25" i="11"/>
  <c r="Q25" i="11"/>
  <c r="M24" i="11"/>
  <c r="P24" i="11"/>
  <c r="Q24" i="11"/>
  <c r="M23" i="11"/>
  <c r="P23" i="11"/>
  <c r="Q23" i="11"/>
  <c r="M22" i="11"/>
  <c r="P22" i="11"/>
  <c r="Q22" i="11"/>
  <c r="M21" i="11"/>
  <c r="P21" i="11"/>
  <c r="Q21" i="11"/>
  <c r="M20" i="11"/>
  <c r="P20" i="11"/>
  <c r="Q20" i="11"/>
  <c r="M19" i="11"/>
  <c r="P19" i="11"/>
  <c r="Q19" i="11"/>
  <c r="O20" i="11"/>
  <c r="O21" i="11"/>
  <c r="O22" i="11"/>
  <c r="O23" i="11"/>
  <c r="O24" i="11"/>
  <c r="O25" i="11"/>
  <c r="O26" i="11"/>
  <c r="O27" i="11"/>
  <c r="O28" i="11"/>
  <c r="O29" i="11"/>
  <c r="O30" i="11"/>
  <c r="O31" i="11"/>
  <c r="O32" i="11"/>
  <c r="O33" i="11"/>
  <c r="O34" i="11"/>
  <c r="O35" i="11"/>
  <c r="O36" i="11"/>
  <c r="O37" i="11"/>
  <c r="O38" i="11"/>
  <c r="O39" i="11"/>
  <c r="O40" i="11"/>
  <c r="O41" i="11"/>
  <c r="O42" i="11"/>
  <c r="O43" i="11"/>
  <c r="O44" i="11"/>
  <c r="O45" i="11"/>
  <c r="O46" i="11"/>
  <c r="O47" i="11"/>
  <c r="O48" i="11"/>
  <c r="O49" i="11"/>
  <c r="O50" i="11"/>
  <c r="O51" i="11"/>
  <c r="O52" i="11"/>
  <c r="O53" i="11"/>
  <c r="O54" i="11"/>
  <c r="O55" i="11"/>
  <c r="O56" i="11"/>
  <c r="O57" i="11"/>
  <c r="O58" i="11"/>
  <c r="O59" i="11"/>
  <c r="O60" i="11"/>
  <c r="O61" i="11"/>
  <c r="O62" i="11"/>
  <c r="O63" i="11"/>
  <c r="O64" i="11"/>
  <c r="O65" i="11"/>
  <c r="O66" i="11"/>
  <c r="O67" i="11"/>
  <c r="O68" i="11"/>
  <c r="O69" i="11"/>
  <c r="O70" i="11"/>
  <c r="O71" i="11"/>
  <c r="O72" i="11"/>
  <c r="O73" i="11"/>
  <c r="O74" i="11"/>
  <c r="O75" i="11"/>
  <c r="O76" i="11"/>
  <c r="O77" i="11"/>
  <c r="O78" i="11"/>
  <c r="O79" i="11"/>
  <c r="O80" i="11"/>
  <c r="O81" i="11"/>
  <c r="O82" i="11"/>
  <c r="O83" i="11"/>
  <c r="O84" i="11"/>
  <c r="O85" i="11"/>
  <c r="O86" i="11"/>
  <c r="O87" i="11"/>
  <c r="O88" i="11"/>
  <c r="O89" i="11"/>
  <c r="O90" i="11"/>
  <c r="O91" i="11"/>
  <c r="O92" i="11"/>
  <c r="O93" i="11"/>
  <c r="O94" i="11"/>
  <c r="O95" i="11"/>
  <c r="O96" i="11"/>
  <c r="O97" i="11"/>
  <c r="O98" i="11"/>
  <c r="O99" i="11"/>
  <c r="O100" i="11"/>
  <c r="O101" i="11"/>
  <c r="O102" i="11"/>
  <c r="O103" i="11"/>
  <c r="O19" i="11"/>
  <c r="P14" i="11"/>
  <c r="W103" i="11"/>
  <c r="W102" i="11"/>
  <c r="W101" i="11"/>
  <c r="W100" i="11"/>
  <c r="W99" i="11"/>
  <c r="W98" i="11"/>
  <c r="W97" i="11"/>
  <c r="W96" i="11"/>
  <c r="W95" i="11"/>
  <c r="W94" i="11"/>
  <c r="W93" i="11"/>
  <c r="W92" i="11"/>
  <c r="W91" i="11"/>
  <c r="W90" i="11"/>
  <c r="W89" i="11"/>
  <c r="W88" i="11"/>
  <c r="W87" i="11"/>
  <c r="W86" i="11"/>
  <c r="W85" i="11"/>
  <c r="W84" i="11"/>
  <c r="W83" i="11"/>
  <c r="W82" i="11"/>
  <c r="W81" i="11"/>
  <c r="W80" i="11"/>
  <c r="W79" i="11"/>
  <c r="W78" i="11"/>
  <c r="W77" i="11"/>
  <c r="W76" i="11"/>
  <c r="W75" i="11"/>
  <c r="W74" i="11"/>
  <c r="W73" i="11"/>
  <c r="W72" i="11"/>
  <c r="W71" i="11"/>
  <c r="W70" i="11"/>
  <c r="W69" i="11"/>
  <c r="W68" i="11"/>
  <c r="W67" i="11"/>
  <c r="W66" i="11"/>
  <c r="W65" i="11"/>
  <c r="W64" i="11"/>
  <c r="W63" i="11"/>
  <c r="W62" i="11"/>
  <c r="W61" i="11"/>
  <c r="W60" i="11"/>
  <c r="W59" i="11"/>
  <c r="W58" i="11"/>
  <c r="W57" i="11"/>
  <c r="W56" i="11"/>
  <c r="W55" i="11"/>
  <c r="W54" i="11"/>
  <c r="W53" i="11"/>
  <c r="W52" i="11"/>
  <c r="W51" i="11"/>
  <c r="W50" i="11"/>
  <c r="W49" i="11"/>
  <c r="W48" i="11"/>
  <c r="W47" i="11"/>
  <c r="W46" i="11"/>
  <c r="W45" i="11"/>
  <c r="W44" i="11"/>
  <c r="W43" i="11"/>
  <c r="W42" i="11"/>
  <c r="W41" i="11"/>
  <c r="W40" i="11"/>
  <c r="W39" i="11"/>
  <c r="W38" i="11"/>
  <c r="W37" i="11"/>
  <c r="W36" i="11"/>
  <c r="W35" i="11"/>
  <c r="W34" i="11"/>
  <c r="W33" i="11"/>
  <c r="W32" i="11"/>
  <c r="W31" i="11"/>
  <c r="W30" i="11"/>
  <c r="W29" i="11"/>
  <c r="W28" i="11"/>
  <c r="W27" i="11"/>
  <c r="W26" i="11"/>
  <c r="W25" i="11"/>
  <c r="W24" i="11"/>
  <c r="W23" i="11"/>
  <c r="W22" i="11"/>
  <c r="W21" i="11"/>
  <c r="W20" i="11"/>
  <c r="W19" i="11"/>
  <c r="X103" i="11"/>
  <c r="X102" i="11"/>
  <c r="X101" i="11"/>
  <c r="X100" i="11"/>
  <c r="X99" i="11"/>
  <c r="X98" i="11"/>
  <c r="X97" i="11"/>
  <c r="X96" i="11"/>
  <c r="X95" i="11"/>
  <c r="X94" i="11"/>
  <c r="X93" i="11"/>
  <c r="X92" i="11"/>
  <c r="X91" i="11"/>
  <c r="X90" i="11"/>
  <c r="X89" i="11"/>
  <c r="X88" i="11"/>
  <c r="X87" i="11"/>
  <c r="X86" i="11"/>
  <c r="X85" i="11"/>
  <c r="X84" i="11"/>
  <c r="X83" i="11"/>
  <c r="X82" i="11"/>
  <c r="X81" i="11"/>
  <c r="X80" i="11"/>
  <c r="X79" i="11"/>
  <c r="X78" i="11"/>
  <c r="X77" i="11"/>
  <c r="X76" i="11"/>
  <c r="X75" i="11"/>
  <c r="X74" i="11"/>
  <c r="X73" i="11"/>
  <c r="X72" i="11"/>
  <c r="X71" i="11"/>
  <c r="X70" i="11"/>
  <c r="X69" i="11"/>
  <c r="X68" i="11"/>
  <c r="X67" i="11"/>
  <c r="X66" i="11"/>
  <c r="X65" i="11"/>
  <c r="X64" i="11"/>
  <c r="X63" i="11"/>
  <c r="X62" i="11"/>
  <c r="X61" i="11"/>
  <c r="X60" i="11"/>
  <c r="X59" i="11"/>
  <c r="X58" i="11"/>
  <c r="X57" i="11"/>
  <c r="X56" i="11"/>
  <c r="X55" i="11"/>
  <c r="X54" i="11"/>
  <c r="X53" i="11"/>
  <c r="X52" i="11"/>
  <c r="X51" i="11"/>
  <c r="X50" i="11"/>
  <c r="X49" i="11"/>
  <c r="X48" i="11"/>
  <c r="X47" i="11"/>
  <c r="X46" i="11"/>
  <c r="X45" i="11"/>
  <c r="X44" i="11"/>
  <c r="X43" i="11"/>
  <c r="X42" i="11"/>
  <c r="X41" i="11"/>
  <c r="X40" i="11"/>
  <c r="X39" i="11"/>
  <c r="X38" i="11"/>
  <c r="X37" i="11"/>
  <c r="X36" i="11"/>
  <c r="X35" i="11"/>
  <c r="X34" i="11"/>
  <c r="X33" i="11"/>
  <c r="X32" i="11"/>
  <c r="X31" i="11"/>
  <c r="X30" i="11"/>
  <c r="X29" i="11"/>
  <c r="X28" i="11"/>
  <c r="X27" i="11"/>
  <c r="X26" i="11"/>
  <c r="X25" i="11"/>
  <c r="X24" i="11"/>
  <c r="X23" i="11"/>
  <c r="X22" i="11"/>
  <c r="X21" i="11"/>
  <c r="X20" i="11"/>
  <c r="X19" i="11"/>
  <c r="R103" i="11"/>
  <c r="R102" i="11"/>
  <c r="R101" i="11"/>
  <c r="R100" i="11"/>
  <c r="R99" i="11"/>
  <c r="R98" i="11"/>
  <c r="R97" i="11"/>
  <c r="R96" i="11"/>
  <c r="R95" i="11"/>
  <c r="R94" i="11"/>
  <c r="R93" i="11"/>
  <c r="R92" i="11"/>
  <c r="R91" i="11"/>
  <c r="R90" i="11"/>
  <c r="R89" i="11"/>
  <c r="R88" i="11"/>
  <c r="R87" i="11"/>
  <c r="R86" i="11"/>
  <c r="R85" i="11"/>
  <c r="R84" i="11"/>
  <c r="R83" i="11"/>
  <c r="R82" i="11"/>
  <c r="R81" i="11"/>
  <c r="R80" i="11"/>
  <c r="R79" i="11"/>
  <c r="R78" i="11"/>
  <c r="R77" i="11"/>
  <c r="R76" i="11"/>
  <c r="R75" i="11"/>
  <c r="R74" i="11"/>
  <c r="R73" i="11"/>
  <c r="R72" i="11"/>
  <c r="R71" i="11"/>
  <c r="R70" i="11"/>
  <c r="R69" i="11"/>
  <c r="R68" i="11"/>
  <c r="R67" i="11"/>
  <c r="R66" i="11"/>
  <c r="R65" i="11"/>
  <c r="R64" i="11"/>
  <c r="R63" i="11"/>
  <c r="R62" i="11"/>
  <c r="R61" i="11"/>
  <c r="R60" i="11"/>
  <c r="R59" i="11"/>
  <c r="R58" i="11"/>
  <c r="R57" i="11"/>
  <c r="R56" i="11"/>
  <c r="R55" i="11"/>
  <c r="R54" i="11"/>
  <c r="R53" i="11"/>
  <c r="R52" i="11"/>
  <c r="R51" i="11"/>
  <c r="R50" i="11"/>
  <c r="R49" i="11"/>
  <c r="R48" i="11"/>
  <c r="R47" i="11"/>
  <c r="R46" i="11"/>
  <c r="R45" i="11"/>
  <c r="R44" i="11"/>
  <c r="R43" i="11"/>
  <c r="R42" i="11"/>
  <c r="R41" i="11"/>
  <c r="R40" i="11"/>
  <c r="R39" i="11"/>
  <c r="R38" i="11"/>
  <c r="R37" i="11"/>
  <c r="R36" i="11"/>
  <c r="R35" i="11"/>
  <c r="R34" i="11"/>
  <c r="R33" i="11"/>
  <c r="R32" i="11"/>
  <c r="R31" i="11"/>
  <c r="R30" i="11"/>
  <c r="R29" i="11"/>
  <c r="R28" i="11"/>
  <c r="R27" i="11"/>
  <c r="R26" i="11"/>
  <c r="R25" i="11"/>
  <c r="R24" i="11"/>
  <c r="R23" i="11"/>
  <c r="R22" i="11"/>
  <c r="R21" i="11"/>
  <c r="R20" i="11"/>
  <c r="R19" i="11"/>
  <c r="C16" i="11"/>
  <c r="D16" i="11"/>
  <c r="I16" i="11"/>
  <c r="J16" i="11"/>
  <c r="K16" i="11"/>
  <c r="H17" i="11"/>
  <c r="H16" i="11"/>
  <c r="V16" i="11"/>
  <c r="V17" i="11"/>
  <c r="W17" i="11"/>
  <c r="X17" i="11"/>
  <c r="Q17" i="11"/>
  <c r="AD19" i="11"/>
  <c r="AD20" i="11"/>
  <c r="AD21" i="11"/>
  <c r="AD22" i="11"/>
  <c r="AD23" i="11"/>
  <c r="AD24" i="11"/>
  <c r="AD25" i="11"/>
  <c r="AD26" i="11"/>
  <c r="AD27" i="11"/>
  <c r="AD28" i="11"/>
  <c r="AD29" i="11"/>
  <c r="AD30" i="11"/>
  <c r="AD31" i="11"/>
  <c r="AD32" i="11"/>
  <c r="AD33" i="11"/>
  <c r="AD34" i="11"/>
  <c r="AD35" i="11"/>
  <c r="AD36" i="11"/>
  <c r="AD37" i="11"/>
  <c r="AD38" i="11"/>
  <c r="AD39" i="11"/>
  <c r="AD40" i="11"/>
  <c r="AD41" i="11"/>
  <c r="AD42" i="11"/>
  <c r="AD43" i="11"/>
  <c r="AD44" i="11"/>
  <c r="AD45" i="11"/>
  <c r="AD46" i="11"/>
  <c r="AD47" i="11"/>
  <c r="AD48" i="11"/>
  <c r="AD49" i="11"/>
  <c r="AD50" i="11"/>
  <c r="AD51" i="11"/>
  <c r="AD52" i="11"/>
  <c r="AD53" i="11"/>
  <c r="AD54" i="11"/>
  <c r="AD55" i="11"/>
  <c r="AD56" i="11"/>
  <c r="AD57" i="11"/>
  <c r="AD58" i="11"/>
  <c r="AD59" i="11"/>
  <c r="AD60" i="11"/>
  <c r="AD61" i="11"/>
  <c r="AD62" i="11"/>
  <c r="AD63" i="11"/>
  <c r="AD64" i="11"/>
  <c r="AD65" i="11"/>
  <c r="AD66" i="11"/>
  <c r="AD67" i="11"/>
  <c r="AD68" i="11"/>
  <c r="AD69" i="11"/>
  <c r="AD70" i="11"/>
  <c r="AD71" i="11"/>
  <c r="AD72" i="11"/>
  <c r="AD73" i="11"/>
  <c r="AD74" i="11"/>
  <c r="AD75" i="11"/>
  <c r="AD76" i="11"/>
  <c r="AD77" i="11"/>
  <c r="AD78" i="11"/>
  <c r="AD79" i="11"/>
  <c r="AD80" i="11"/>
  <c r="AD81" i="11"/>
  <c r="AD82" i="11"/>
  <c r="AD83" i="11"/>
  <c r="AD84" i="11"/>
  <c r="AD85" i="11"/>
  <c r="AD86" i="11"/>
  <c r="AD87" i="11"/>
  <c r="AD88" i="11"/>
  <c r="AD89" i="11"/>
  <c r="AD90" i="11"/>
  <c r="AD91" i="11"/>
  <c r="AD92" i="11"/>
  <c r="AD93" i="11"/>
  <c r="AD94" i="11"/>
  <c r="AD95" i="11"/>
  <c r="AD96" i="11"/>
  <c r="AD97" i="11"/>
  <c r="AD98" i="11"/>
  <c r="AD99" i="11"/>
  <c r="AD100" i="11"/>
  <c r="AD101" i="11"/>
  <c r="AD102" i="11"/>
  <c r="AD103" i="11"/>
  <c r="P16" i="11"/>
  <c r="X16" i="11"/>
  <c r="Q16" i="11"/>
  <c r="W16" i="11"/>
  <c r="E16" i="17"/>
  <c r="E24" i="17"/>
  <c r="E14" i="16"/>
  <c r="E20" i="16"/>
  <c r="R16" i="11"/>
  <c r="G4" i="11"/>
  <c r="I4" i="11"/>
  <c r="E23" i="16"/>
  <c r="E25" i="16"/>
  <c r="Y19" i="11"/>
  <c r="Y20" i="11"/>
  <c r="Y21" i="11"/>
  <c r="Y22" i="11"/>
  <c r="Y23" i="11"/>
  <c r="Y24" i="11"/>
  <c r="Y25" i="11"/>
  <c r="Y26" i="11"/>
  <c r="Y27" i="11"/>
  <c r="Y28" i="11"/>
  <c r="Y29" i="11"/>
  <c r="Y30" i="11"/>
  <c r="Y31" i="11"/>
  <c r="Y32" i="11"/>
  <c r="Y33" i="11"/>
  <c r="Y34" i="11"/>
  <c r="Y35" i="11"/>
  <c r="Y36" i="11"/>
  <c r="Y37" i="11"/>
  <c r="Y38" i="11"/>
  <c r="Y39" i="11"/>
  <c r="Y40" i="11"/>
  <c r="Y41" i="11"/>
  <c r="Y42" i="11"/>
  <c r="Y43" i="11"/>
  <c r="Y44" i="11"/>
  <c r="Y45" i="11"/>
  <c r="Y46" i="11"/>
  <c r="Y47" i="11"/>
  <c r="Y48" i="11"/>
  <c r="Y49" i="11"/>
  <c r="Y50" i="11"/>
  <c r="Y51" i="11"/>
  <c r="Y52" i="11"/>
  <c r="Y53" i="11"/>
  <c r="Y54" i="11"/>
  <c r="Y55" i="11"/>
  <c r="Y56" i="11"/>
  <c r="Y57" i="11"/>
  <c r="Y58" i="11"/>
  <c r="Y59" i="11"/>
  <c r="Y60" i="11"/>
  <c r="Y61" i="11"/>
  <c r="Y62" i="11"/>
  <c r="Y63" i="11"/>
  <c r="Y64" i="11"/>
  <c r="Y65" i="11"/>
  <c r="Y66" i="11"/>
  <c r="Y67" i="11"/>
  <c r="Y68" i="11"/>
  <c r="Y69" i="11"/>
  <c r="Y70" i="11"/>
  <c r="Y71" i="11"/>
  <c r="Y72" i="11"/>
  <c r="Y73" i="11"/>
  <c r="Y74" i="11"/>
  <c r="Y75" i="11"/>
  <c r="Y76" i="11"/>
  <c r="Y77" i="11"/>
  <c r="Y78" i="11"/>
  <c r="Y79" i="11"/>
  <c r="Y80" i="11"/>
  <c r="Y81" i="11"/>
  <c r="Y82" i="11"/>
  <c r="Y83" i="11"/>
  <c r="Y84" i="11"/>
  <c r="Y85" i="11"/>
  <c r="Y86" i="11"/>
  <c r="Y87" i="11"/>
  <c r="Y88" i="11"/>
  <c r="Y89" i="11"/>
  <c r="Y90" i="11"/>
  <c r="Y91" i="11"/>
  <c r="Y92" i="11"/>
  <c r="Y93" i="11"/>
  <c r="Y94" i="11"/>
  <c r="Y95" i="11"/>
  <c r="Y96" i="11"/>
  <c r="Y97" i="11"/>
  <c r="Y98" i="11"/>
  <c r="Y99" i="11"/>
  <c r="Y100" i="11"/>
  <c r="Y101" i="11"/>
  <c r="Y102" i="11"/>
  <c r="Y103" i="11"/>
  <c r="AB19" i="11"/>
  <c r="AB20" i="11"/>
  <c r="AB21" i="11"/>
  <c r="AB22" i="11"/>
  <c r="AB23" i="11"/>
  <c r="AB24" i="11"/>
  <c r="AB25" i="11"/>
  <c r="AB26" i="11"/>
  <c r="AB27" i="11"/>
  <c r="AB28" i="11"/>
  <c r="AB29" i="11"/>
  <c r="AB30" i="11"/>
  <c r="AB31" i="11"/>
  <c r="AB32" i="11"/>
  <c r="AB33" i="11"/>
  <c r="AB34" i="11"/>
  <c r="AB35" i="11"/>
  <c r="AB36" i="11"/>
  <c r="AB37" i="11"/>
  <c r="AB38" i="11"/>
  <c r="AB39" i="11"/>
  <c r="AB40" i="11"/>
  <c r="AB41" i="11"/>
  <c r="AB42" i="11"/>
  <c r="AB43" i="11"/>
  <c r="AB44" i="11"/>
  <c r="AB45" i="11"/>
  <c r="E16" i="16"/>
  <c r="E24" i="16"/>
  <c r="E13" i="16"/>
  <c r="E15" i="16"/>
  <c r="S103" i="11"/>
  <c r="T103" i="11"/>
  <c r="U103" i="11"/>
  <c r="S102" i="11"/>
  <c r="T102" i="11"/>
  <c r="U102" i="11"/>
  <c r="S101" i="11"/>
  <c r="T101" i="11"/>
  <c r="U101" i="11"/>
  <c r="S100" i="11"/>
  <c r="T100" i="11"/>
  <c r="U100" i="11"/>
  <c r="S99" i="11"/>
  <c r="T99" i="11"/>
  <c r="U99" i="11"/>
  <c r="S98" i="11"/>
  <c r="T98" i="11"/>
  <c r="U98" i="11"/>
  <c r="S97" i="11"/>
  <c r="T97" i="11"/>
  <c r="U97" i="11"/>
  <c r="S96" i="11"/>
  <c r="T96" i="11"/>
  <c r="U96" i="11"/>
  <c r="S95" i="11"/>
  <c r="T95" i="11"/>
  <c r="U95" i="11"/>
  <c r="S94" i="11"/>
  <c r="T94" i="11"/>
  <c r="U94" i="11"/>
  <c r="S93" i="11"/>
  <c r="T93" i="11"/>
  <c r="U93" i="11"/>
  <c r="S92" i="11"/>
  <c r="T92" i="11"/>
  <c r="U92" i="11"/>
  <c r="S91" i="11"/>
  <c r="T91" i="11"/>
  <c r="U91" i="11"/>
  <c r="S90" i="11"/>
  <c r="T90" i="11"/>
  <c r="U90" i="11"/>
  <c r="S89" i="11"/>
  <c r="T89" i="11"/>
  <c r="U89" i="11"/>
  <c r="S88" i="11"/>
  <c r="T88" i="11"/>
  <c r="U88" i="11"/>
  <c r="S87" i="11"/>
  <c r="T87" i="11"/>
  <c r="U87" i="11"/>
  <c r="S86" i="11"/>
  <c r="T86" i="11"/>
  <c r="U86" i="11"/>
  <c r="S85" i="11"/>
  <c r="T85" i="11"/>
  <c r="U85" i="11"/>
  <c r="S84" i="11"/>
  <c r="T84" i="11"/>
  <c r="U84" i="11"/>
  <c r="S83" i="11"/>
  <c r="T83" i="11"/>
  <c r="U83" i="11"/>
  <c r="S82" i="11"/>
  <c r="T82" i="11"/>
  <c r="U82" i="11"/>
  <c r="S81" i="11"/>
  <c r="T81" i="11"/>
  <c r="U81" i="11"/>
  <c r="S80" i="11"/>
  <c r="T80" i="11"/>
  <c r="U80" i="11"/>
  <c r="S79" i="11"/>
  <c r="T79" i="11"/>
  <c r="U79" i="11"/>
  <c r="S78" i="11"/>
  <c r="T78" i="11"/>
  <c r="U78" i="11"/>
  <c r="S77" i="11"/>
  <c r="T77" i="11"/>
  <c r="U77" i="11"/>
  <c r="S76" i="11"/>
  <c r="T76" i="11"/>
  <c r="U76" i="11"/>
  <c r="S75" i="11"/>
  <c r="T75" i="11"/>
  <c r="U75" i="11"/>
  <c r="S74" i="11"/>
  <c r="T74" i="11"/>
  <c r="U74" i="11"/>
  <c r="S73" i="11"/>
  <c r="T73" i="11"/>
  <c r="U73" i="11"/>
  <c r="S72" i="11"/>
  <c r="T72" i="11"/>
  <c r="U72" i="11"/>
  <c r="S71" i="11"/>
  <c r="T71" i="11"/>
  <c r="U71" i="11"/>
  <c r="S70" i="11"/>
  <c r="T70" i="11"/>
  <c r="U70" i="11"/>
  <c r="S69" i="11"/>
  <c r="T69" i="11"/>
  <c r="U69" i="11"/>
  <c r="S68" i="11"/>
  <c r="T68" i="11"/>
  <c r="U68" i="11"/>
  <c r="S67" i="11"/>
  <c r="T67" i="11"/>
  <c r="U67" i="11"/>
  <c r="S66" i="11"/>
  <c r="T66" i="11"/>
  <c r="U66" i="11"/>
  <c r="S65" i="11"/>
  <c r="T65" i="11"/>
  <c r="U65" i="11"/>
  <c r="S64" i="11"/>
  <c r="T64" i="11"/>
  <c r="U64" i="11"/>
  <c r="S63" i="11"/>
  <c r="T63" i="11"/>
  <c r="U63" i="11"/>
  <c r="S62" i="11"/>
  <c r="T62" i="11"/>
  <c r="U62" i="11"/>
  <c r="S61" i="11"/>
  <c r="T61" i="11"/>
  <c r="U61" i="11"/>
  <c r="S60" i="11"/>
  <c r="T60" i="11"/>
  <c r="U60" i="11"/>
  <c r="S59" i="11"/>
  <c r="T59" i="11"/>
  <c r="U59" i="11"/>
  <c r="S58" i="11"/>
  <c r="T58" i="11"/>
  <c r="U58" i="11"/>
  <c r="S57" i="11"/>
  <c r="T57" i="11"/>
  <c r="U57" i="11"/>
  <c r="S56" i="11"/>
  <c r="T56" i="11"/>
  <c r="U56" i="11"/>
  <c r="S55" i="11"/>
  <c r="T55" i="11"/>
  <c r="U55" i="11"/>
  <c r="S54" i="11"/>
  <c r="T54" i="11"/>
  <c r="U54" i="11"/>
  <c r="S53" i="11"/>
  <c r="T53" i="11"/>
  <c r="U53" i="11"/>
  <c r="S52" i="11"/>
  <c r="T52" i="11"/>
  <c r="U52" i="11"/>
  <c r="S51" i="11"/>
  <c r="T51" i="11"/>
  <c r="U51" i="11"/>
  <c r="S50" i="11"/>
  <c r="T50" i="11"/>
  <c r="U50" i="11"/>
  <c r="S49" i="11"/>
  <c r="T49" i="11"/>
  <c r="U49" i="11"/>
  <c r="S48" i="11"/>
  <c r="T48" i="11"/>
  <c r="U48" i="11"/>
  <c r="S47" i="11"/>
  <c r="T47" i="11"/>
  <c r="U47" i="11"/>
  <c r="S46" i="11"/>
  <c r="T46" i="11"/>
  <c r="U46" i="11"/>
  <c r="S45" i="11"/>
  <c r="T45" i="11"/>
  <c r="U45" i="11"/>
  <c r="S44" i="11"/>
  <c r="T44" i="11"/>
  <c r="U44" i="11"/>
  <c r="S43" i="11"/>
  <c r="T43" i="11"/>
  <c r="U43" i="11"/>
  <c r="S42" i="11"/>
  <c r="T42" i="11"/>
  <c r="U42" i="11"/>
  <c r="S41" i="11"/>
  <c r="T41" i="11"/>
  <c r="U41" i="11"/>
  <c r="S40" i="11"/>
  <c r="T40" i="11"/>
  <c r="U40" i="11"/>
  <c r="S39" i="11"/>
  <c r="T39" i="11"/>
  <c r="U39" i="11"/>
  <c r="S38" i="11"/>
  <c r="T38" i="11"/>
  <c r="U38" i="11"/>
  <c r="S37" i="11"/>
  <c r="T37" i="11"/>
  <c r="U37" i="11"/>
  <c r="S36" i="11"/>
  <c r="T36" i="11"/>
  <c r="U36" i="11"/>
  <c r="S35" i="11"/>
  <c r="T35" i="11"/>
  <c r="U35" i="11"/>
  <c r="S34" i="11"/>
  <c r="T34" i="11"/>
  <c r="U34" i="11"/>
  <c r="S33" i="11"/>
  <c r="T33" i="11"/>
  <c r="U33" i="11"/>
  <c r="S32" i="11"/>
  <c r="T32" i="11"/>
  <c r="U32" i="11"/>
  <c r="S31" i="11"/>
  <c r="T31" i="11"/>
  <c r="U31" i="11"/>
  <c r="S30" i="11"/>
  <c r="T30" i="11"/>
  <c r="U30" i="11"/>
  <c r="S29" i="11"/>
  <c r="T29" i="11"/>
  <c r="U29" i="11"/>
  <c r="S28" i="11"/>
  <c r="T28" i="11"/>
  <c r="U28" i="11"/>
  <c r="S27" i="11"/>
  <c r="T27" i="11"/>
  <c r="U27" i="11"/>
  <c r="S26" i="11"/>
  <c r="T26" i="11"/>
  <c r="U26" i="11"/>
  <c r="S25" i="11"/>
  <c r="T25" i="11"/>
  <c r="U25" i="11"/>
  <c r="S24" i="11"/>
  <c r="T24" i="11"/>
  <c r="U24" i="11"/>
  <c r="S23" i="11"/>
  <c r="T23" i="11"/>
  <c r="U23" i="11"/>
  <c r="S22" i="11"/>
  <c r="T22" i="11"/>
  <c r="U22" i="11"/>
  <c r="S21" i="11"/>
  <c r="T21" i="11"/>
  <c r="U21" i="11"/>
  <c r="S20" i="11"/>
  <c r="T20" i="11"/>
  <c r="U20" i="11"/>
  <c r="S19" i="11"/>
  <c r="T19" i="11"/>
  <c r="U19" i="11"/>
  <c r="G8" i="11"/>
  <c r="I8" i="11"/>
  <c r="H4" i="11"/>
  <c r="E19" i="16"/>
  <c r="P17" i="11"/>
  <c r="E14" i="17"/>
  <c r="E20" i="17"/>
  <c r="E13" i="17"/>
  <c r="E15" i="17"/>
  <c r="E19" i="17"/>
  <c r="G9" i="11"/>
  <c r="E21" i="16"/>
  <c r="E21" i="17"/>
  <c r="M7" i="14"/>
  <c r="M8" i="14"/>
  <c r="M9" i="14"/>
  <c r="M10" i="14"/>
  <c r="M11" i="14"/>
  <c r="M12" i="14"/>
  <c r="M13" i="14"/>
  <c r="M14" i="14"/>
  <c r="M15" i="14"/>
  <c r="M16" i="14"/>
  <c r="M17" i="14"/>
  <c r="M18" i="14"/>
  <c r="M19" i="14"/>
  <c r="M20" i="14"/>
  <c r="M21" i="14"/>
  <c r="M22" i="14"/>
  <c r="M23" i="14"/>
  <c r="M24" i="14"/>
  <c r="M25" i="14"/>
  <c r="M26" i="14"/>
  <c r="M27" i="14"/>
  <c r="M28" i="14"/>
  <c r="M29" i="14"/>
  <c r="M30" i="14"/>
  <c r="M31" i="14"/>
  <c r="M32" i="14"/>
  <c r="M33" i="14"/>
  <c r="AB46" i="11"/>
  <c r="M34" i="14"/>
  <c r="AB47" i="11"/>
  <c r="M35" i="14"/>
  <c r="AB48" i="11"/>
  <c r="M36" i="14"/>
  <c r="AB49" i="11"/>
  <c r="M37" i="14"/>
  <c r="AB50" i="11"/>
  <c r="M38" i="14"/>
  <c r="AB51" i="11"/>
  <c r="M39" i="14"/>
  <c r="AB52" i="11"/>
  <c r="M40" i="14"/>
  <c r="AB53" i="11"/>
  <c r="M41" i="14"/>
  <c r="AB54" i="11"/>
  <c r="M42" i="14"/>
  <c r="AB55" i="11"/>
  <c r="M43" i="14"/>
  <c r="AB56" i="11"/>
  <c r="M44" i="14"/>
  <c r="AB57" i="11"/>
  <c r="M45" i="14"/>
  <c r="AB58" i="11"/>
  <c r="M46" i="14"/>
  <c r="AB59" i="11"/>
  <c r="M47" i="14"/>
  <c r="AB60" i="11"/>
  <c r="M48" i="14"/>
  <c r="AB61" i="11"/>
  <c r="M49" i="14"/>
  <c r="AB62" i="11"/>
  <c r="M50" i="14"/>
  <c r="AB63" i="11"/>
  <c r="M51" i="14"/>
  <c r="AB64" i="11"/>
  <c r="M52" i="14"/>
  <c r="AB65" i="11"/>
  <c r="M53" i="14"/>
  <c r="AB66" i="11"/>
  <c r="M54" i="14"/>
  <c r="AB67" i="11"/>
  <c r="M55" i="14"/>
  <c r="AB68" i="11"/>
  <c r="M56" i="14"/>
  <c r="AB69" i="11"/>
  <c r="M57" i="14"/>
  <c r="AB70" i="11"/>
  <c r="M58" i="14"/>
  <c r="AB71" i="11"/>
  <c r="M59" i="14"/>
  <c r="AB72" i="11"/>
  <c r="M60" i="14"/>
  <c r="AB73" i="11"/>
  <c r="M61" i="14"/>
  <c r="AB74" i="11"/>
  <c r="M62" i="14"/>
  <c r="AB75" i="11"/>
  <c r="M63" i="14"/>
  <c r="AB76" i="11"/>
  <c r="M64" i="14"/>
  <c r="AB77" i="11"/>
  <c r="M65" i="14"/>
  <c r="AB78" i="11"/>
  <c r="M66" i="14"/>
  <c r="AB79" i="11"/>
  <c r="M67" i="14"/>
  <c r="AB80" i="11"/>
  <c r="M68" i="14"/>
  <c r="AB81" i="11"/>
  <c r="M69" i="14"/>
  <c r="AB82" i="11"/>
  <c r="M70" i="14"/>
  <c r="AB83" i="11"/>
  <c r="M71" i="14"/>
  <c r="AB84" i="11"/>
  <c r="M72" i="14"/>
  <c r="AB85" i="11"/>
  <c r="M73" i="14"/>
  <c r="AB86" i="11"/>
  <c r="M74" i="14"/>
  <c r="AB87" i="11"/>
  <c r="M75" i="14"/>
  <c r="AB88" i="11"/>
  <c r="M76" i="14"/>
  <c r="AB89" i="11"/>
  <c r="M77" i="14"/>
  <c r="M78" i="14"/>
  <c r="AB90" i="11"/>
  <c r="M79" i="14"/>
  <c r="M80" i="14"/>
  <c r="AB91" i="11"/>
  <c r="M81" i="14"/>
  <c r="M82" i="14"/>
  <c r="AB92" i="11"/>
  <c r="M83" i="14"/>
  <c r="AB93" i="11"/>
  <c r="M84" i="14"/>
  <c r="AB94" i="11"/>
  <c r="M85" i="14"/>
  <c r="AB95" i="11"/>
  <c r="M86" i="14"/>
  <c r="M87" i="14"/>
  <c r="AB96" i="11"/>
  <c r="M88" i="14"/>
  <c r="AB97" i="11"/>
  <c r="M89" i="14"/>
  <c r="AB98" i="11"/>
  <c r="M90" i="14"/>
  <c r="M91" i="14"/>
  <c r="M92" i="14"/>
  <c r="AB99" i="11"/>
  <c r="M93" i="14"/>
  <c r="AB100" i="11"/>
  <c r="M94" i="14"/>
  <c r="AB101" i="11"/>
  <c r="M95" i="14"/>
  <c r="M96" i="14"/>
  <c r="AB102" i="11"/>
  <c r="M97" i="14"/>
  <c r="AB103" i="11"/>
  <c r="M98" i="14"/>
  <c r="M99" i="14"/>
  <c r="M100" i="14"/>
  <c r="M101" i="14"/>
  <c r="Y16" i="11"/>
  <c r="K14" i="11"/>
  <c r="I5" i="11"/>
  <c r="E22" i="16"/>
  <c r="G5" i="11"/>
  <c r="C32" i="7"/>
  <c r="D32" i="7"/>
  <c r="C26" i="7"/>
  <c r="D26" i="7"/>
  <c r="E16" i="13"/>
  <c r="F14" i="13"/>
  <c r="G103" i="13"/>
  <c r="N103" i="13"/>
  <c r="L103" i="13"/>
  <c r="G102" i="13"/>
  <c r="N102" i="13"/>
  <c r="L102" i="13"/>
  <c r="G101" i="13"/>
  <c r="N101" i="13"/>
  <c r="L101" i="13"/>
  <c r="G100" i="13"/>
  <c r="N100" i="13"/>
  <c r="L100" i="13"/>
  <c r="G99" i="13"/>
  <c r="N99" i="13"/>
  <c r="L99" i="13"/>
  <c r="G98" i="13"/>
  <c r="N98" i="13"/>
  <c r="L98" i="13"/>
  <c r="G97" i="13"/>
  <c r="N97" i="13"/>
  <c r="L97" i="13"/>
  <c r="G96" i="13"/>
  <c r="N96" i="13"/>
  <c r="L96" i="13"/>
  <c r="G95" i="13"/>
  <c r="N95" i="13"/>
  <c r="L95" i="13"/>
  <c r="G94" i="13"/>
  <c r="N94" i="13"/>
  <c r="L94" i="13"/>
  <c r="G93" i="13"/>
  <c r="N93" i="13"/>
  <c r="L93" i="13"/>
  <c r="G92" i="13"/>
  <c r="N92" i="13"/>
  <c r="L92" i="13"/>
  <c r="G91" i="13"/>
  <c r="N91" i="13"/>
  <c r="L91" i="13"/>
  <c r="G90" i="13"/>
  <c r="N90" i="13"/>
  <c r="L90" i="13"/>
  <c r="G89" i="13"/>
  <c r="N89" i="13"/>
  <c r="L89" i="13"/>
  <c r="G88" i="13"/>
  <c r="N88" i="13"/>
  <c r="L88" i="13"/>
  <c r="G87" i="13"/>
  <c r="N87" i="13"/>
  <c r="L87" i="13"/>
  <c r="G86" i="13"/>
  <c r="N86" i="13"/>
  <c r="L86" i="13"/>
  <c r="G85" i="13"/>
  <c r="N85" i="13"/>
  <c r="L85" i="13"/>
  <c r="G84" i="13"/>
  <c r="N84" i="13"/>
  <c r="L84" i="13"/>
  <c r="G83" i="13"/>
  <c r="N83" i="13"/>
  <c r="L83" i="13"/>
  <c r="G82" i="13"/>
  <c r="N82" i="13"/>
  <c r="L82" i="13"/>
  <c r="G81" i="13"/>
  <c r="N81" i="13"/>
  <c r="L81" i="13"/>
  <c r="G80" i="13"/>
  <c r="N80" i="13"/>
  <c r="L80" i="13"/>
  <c r="G79" i="13"/>
  <c r="N79" i="13"/>
  <c r="L79" i="13"/>
  <c r="G78" i="13"/>
  <c r="N78" i="13"/>
  <c r="L78" i="13"/>
  <c r="G77" i="13"/>
  <c r="N77" i="13"/>
  <c r="L77" i="13"/>
  <c r="G76" i="13"/>
  <c r="N76" i="13"/>
  <c r="L76" i="13"/>
  <c r="G75" i="13"/>
  <c r="N75" i="13"/>
  <c r="L75" i="13"/>
  <c r="G74" i="13"/>
  <c r="N74" i="13"/>
  <c r="L74" i="13"/>
  <c r="G73" i="13"/>
  <c r="N73" i="13"/>
  <c r="L73" i="13"/>
  <c r="G72" i="13"/>
  <c r="N72" i="13"/>
  <c r="L72" i="13"/>
  <c r="G71" i="13"/>
  <c r="N71" i="13"/>
  <c r="L71" i="13"/>
  <c r="G70" i="13"/>
  <c r="N70" i="13"/>
  <c r="L70" i="13"/>
  <c r="G69" i="13"/>
  <c r="N69" i="13"/>
  <c r="L69" i="13"/>
  <c r="G68" i="13"/>
  <c r="N68" i="13"/>
  <c r="L68" i="13"/>
  <c r="G67" i="13"/>
  <c r="N67" i="13"/>
  <c r="L67" i="13"/>
  <c r="G66" i="13"/>
  <c r="N66" i="13"/>
  <c r="L66" i="13"/>
  <c r="G65" i="13"/>
  <c r="N65" i="13"/>
  <c r="L65" i="13"/>
  <c r="G64" i="13"/>
  <c r="N64" i="13"/>
  <c r="L64" i="13"/>
  <c r="G63" i="13"/>
  <c r="N63" i="13"/>
  <c r="L63" i="13"/>
  <c r="G62" i="13"/>
  <c r="N62" i="13"/>
  <c r="L62" i="13"/>
  <c r="G61" i="13"/>
  <c r="N61" i="13"/>
  <c r="L61" i="13"/>
  <c r="G60" i="13"/>
  <c r="N60" i="13"/>
  <c r="L60" i="13"/>
  <c r="G59" i="13"/>
  <c r="N59" i="13"/>
  <c r="L59" i="13"/>
  <c r="G58" i="13"/>
  <c r="N58" i="13"/>
  <c r="L58" i="13"/>
  <c r="G57" i="13"/>
  <c r="N57" i="13"/>
  <c r="L57" i="13"/>
  <c r="G56" i="13"/>
  <c r="N56" i="13"/>
  <c r="L56" i="13"/>
  <c r="G55" i="13"/>
  <c r="N55" i="13"/>
  <c r="L55" i="13"/>
  <c r="G54" i="13"/>
  <c r="N54" i="13"/>
  <c r="L54" i="13"/>
  <c r="G53" i="13"/>
  <c r="N53" i="13"/>
  <c r="L53" i="13"/>
  <c r="G52" i="13"/>
  <c r="N52" i="13"/>
  <c r="L52" i="13"/>
  <c r="G51" i="13"/>
  <c r="N51" i="13"/>
  <c r="L51" i="13"/>
  <c r="G50" i="13"/>
  <c r="N50" i="13"/>
  <c r="L50" i="13"/>
  <c r="G49" i="13"/>
  <c r="N49" i="13"/>
  <c r="L49" i="13"/>
  <c r="G48" i="13"/>
  <c r="N48" i="13"/>
  <c r="L48" i="13"/>
  <c r="G39" i="13"/>
  <c r="N39" i="13"/>
  <c r="L39" i="13"/>
  <c r="G38" i="13"/>
  <c r="N38" i="13"/>
  <c r="L38" i="13"/>
  <c r="G37" i="13"/>
  <c r="N37" i="13"/>
  <c r="L37" i="13"/>
  <c r="G36" i="13"/>
  <c r="N36" i="13"/>
  <c r="L36" i="13"/>
  <c r="G35" i="13"/>
  <c r="N35" i="13"/>
  <c r="L35" i="13"/>
  <c r="G34" i="13"/>
  <c r="N34" i="13"/>
  <c r="L34" i="13"/>
  <c r="G33" i="13"/>
  <c r="N33" i="13"/>
  <c r="L33" i="13"/>
  <c r="G32" i="13"/>
  <c r="N32" i="13"/>
  <c r="L32" i="13"/>
  <c r="G31" i="13"/>
  <c r="N31" i="13"/>
  <c r="L31" i="13"/>
  <c r="G30" i="13"/>
  <c r="N30" i="13"/>
  <c r="L30" i="13"/>
  <c r="G29" i="13"/>
  <c r="N29" i="13"/>
  <c r="L29" i="13"/>
  <c r="G28" i="13"/>
  <c r="N28" i="13"/>
  <c r="L28" i="13"/>
  <c r="G27" i="13"/>
  <c r="N27" i="13"/>
  <c r="L27" i="13"/>
  <c r="G26" i="13"/>
  <c r="N26" i="13"/>
  <c r="L26" i="13"/>
  <c r="G25" i="13"/>
  <c r="N25" i="13"/>
  <c r="L25" i="13"/>
  <c r="G24" i="13"/>
  <c r="N24" i="13"/>
  <c r="L24" i="13"/>
  <c r="G23" i="13"/>
  <c r="N23" i="13"/>
  <c r="L23" i="13"/>
  <c r="G22" i="13"/>
  <c r="N22" i="13"/>
  <c r="L22" i="13"/>
  <c r="G21" i="13"/>
  <c r="N21" i="13"/>
  <c r="L21" i="13"/>
  <c r="G20" i="13"/>
  <c r="N20" i="13"/>
  <c r="L20" i="13"/>
  <c r="G19" i="13"/>
  <c r="N19" i="13"/>
  <c r="L19" i="13"/>
  <c r="M19" i="13"/>
  <c r="P19" i="13"/>
  <c r="Q19" i="13"/>
  <c r="M20" i="13"/>
  <c r="P20" i="13"/>
  <c r="Q20" i="13"/>
  <c r="M21" i="13"/>
  <c r="P21" i="13"/>
  <c r="Q21" i="13"/>
  <c r="M22" i="13"/>
  <c r="P22" i="13"/>
  <c r="Q22" i="13"/>
  <c r="M23" i="13"/>
  <c r="P23" i="13"/>
  <c r="Q23" i="13"/>
  <c r="M24" i="13"/>
  <c r="P24" i="13"/>
  <c r="Q24" i="13"/>
  <c r="M25" i="13"/>
  <c r="P25" i="13"/>
  <c r="Q25" i="13"/>
  <c r="M26" i="13"/>
  <c r="P26" i="13"/>
  <c r="Q26" i="13"/>
  <c r="M27" i="13"/>
  <c r="P27" i="13"/>
  <c r="Q27" i="13"/>
  <c r="M28" i="13"/>
  <c r="P28" i="13"/>
  <c r="Q28" i="13"/>
  <c r="M29" i="13"/>
  <c r="P29" i="13"/>
  <c r="Q29" i="13"/>
  <c r="M30" i="13"/>
  <c r="P30" i="13"/>
  <c r="Q30" i="13"/>
  <c r="M31" i="13"/>
  <c r="P31" i="13"/>
  <c r="Q31" i="13"/>
  <c r="M32" i="13"/>
  <c r="P32" i="13"/>
  <c r="Q32" i="13"/>
  <c r="M33" i="13"/>
  <c r="P33" i="13"/>
  <c r="Q33" i="13"/>
  <c r="M34" i="13"/>
  <c r="P34" i="13"/>
  <c r="Q34" i="13"/>
  <c r="M35" i="13"/>
  <c r="P35" i="13"/>
  <c r="Q35" i="13"/>
  <c r="M36" i="13"/>
  <c r="P36" i="13"/>
  <c r="Q36" i="13"/>
  <c r="M37" i="13"/>
  <c r="P37" i="13"/>
  <c r="Q37" i="13"/>
  <c r="M38" i="13"/>
  <c r="P38" i="13"/>
  <c r="Q38" i="13"/>
  <c r="M39" i="13"/>
  <c r="P39" i="13"/>
  <c r="Q39" i="13"/>
  <c r="G40" i="13"/>
  <c r="N40" i="13"/>
  <c r="L40" i="13"/>
  <c r="M40" i="13"/>
  <c r="P40" i="13"/>
  <c r="Q40" i="13"/>
  <c r="G41" i="13"/>
  <c r="N41" i="13"/>
  <c r="L41" i="13"/>
  <c r="M41" i="13"/>
  <c r="P41" i="13"/>
  <c r="Q41" i="13"/>
  <c r="G42" i="13"/>
  <c r="N42" i="13"/>
  <c r="L42" i="13"/>
  <c r="M42" i="13"/>
  <c r="P42" i="13"/>
  <c r="Q42" i="13"/>
  <c r="G43" i="13"/>
  <c r="N43" i="13"/>
  <c r="L43" i="13"/>
  <c r="M43" i="13"/>
  <c r="P43" i="13"/>
  <c r="Q43" i="13"/>
  <c r="G44" i="13"/>
  <c r="N44" i="13"/>
  <c r="L44" i="13"/>
  <c r="M44" i="13"/>
  <c r="P44" i="13"/>
  <c r="Q44" i="13"/>
  <c r="G45" i="13"/>
  <c r="N45" i="13"/>
  <c r="L45" i="13"/>
  <c r="M45" i="13"/>
  <c r="P45" i="13"/>
  <c r="Q45" i="13"/>
  <c r="G46" i="13"/>
  <c r="N46" i="13"/>
  <c r="L46" i="13"/>
  <c r="M46" i="13"/>
  <c r="P46" i="13"/>
  <c r="Q46" i="13"/>
  <c r="G47" i="13"/>
  <c r="N47" i="13"/>
  <c r="L47" i="13"/>
  <c r="M47" i="13"/>
  <c r="P47" i="13"/>
  <c r="Q47" i="13"/>
  <c r="M48" i="13"/>
  <c r="P48" i="13"/>
  <c r="Q48" i="13"/>
  <c r="M49" i="13"/>
  <c r="P49" i="13"/>
  <c r="Q49" i="13"/>
  <c r="M50" i="13"/>
  <c r="P50" i="13"/>
  <c r="Q50" i="13"/>
  <c r="M51" i="13"/>
  <c r="P51" i="13"/>
  <c r="Q51" i="13"/>
  <c r="M52" i="13"/>
  <c r="P52" i="13"/>
  <c r="Q52" i="13"/>
  <c r="M53" i="13"/>
  <c r="P53" i="13"/>
  <c r="Q53" i="13"/>
  <c r="M54" i="13"/>
  <c r="P54" i="13"/>
  <c r="Q54" i="13"/>
  <c r="M55" i="13"/>
  <c r="P55" i="13"/>
  <c r="Q55" i="13"/>
  <c r="M56" i="13"/>
  <c r="P56" i="13"/>
  <c r="Q56" i="13"/>
  <c r="M57" i="13"/>
  <c r="P57" i="13"/>
  <c r="Q57" i="13"/>
  <c r="M58" i="13"/>
  <c r="P58" i="13"/>
  <c r="Q58" i="13"/>
  <c r="M59" i="13"/>
  <c r="P59" i="13"/>
  <c r="Q59" i="13"/>
  <c r="M60" i="13"/>
  <c r="P60" i="13"/>
  <c r="Q60" i="13"/>
  <c r="M61" i="13"/>
  <c r="P61" i="13"/>
  <c r="Q61" i="13"/>
  <c r="M62" i="13"/>
  <c r="P62" i="13"/>
  <c r="Q62" i="13"/>
  <c r="M63" i="13"/>
  <c r="P63" i="13"/>
  <c r="Q63" i="13"/>
  <c r="M64" i="13"/>
  <c r="P64" i="13"/>
  <c r="Q64" i="13"/>
  <c r="M65" i="13"/>
  <c r="P65" i="13"/>
  <c r="Q65" i="13"/>
  <c r="M66" i="13"/>
  <c r="P66" i="13"/>
  <c r="Q66" i="13"/>
  <c r="M67" i="13"/>
  <c r="P67" i="13"/>
  <c r="Q67" i="13"/>
  <c r="M68" i="13"/>
  <c r="P68" i="13"/>
  <c r="Q68" i="13"/>
  <c r="M69" i="13"/>
  <c r="P69" i="13"/>
  <c r="Q69" i="13"/>
  <c r="M70" i="13"/>
  <c r="P70" i="13"/>
  <c r="Q70" i="13"/>
  <c r="M71" i="13"/>
  <c r="P71" i="13"/>
  <c r="Q71" i="13"/>
  <c r="M72" i="13"/>
  <c r="P72" i="13"/>
  <c r="Q72" i="13"/>
  <c r="M73" i="13"/>
  <c r="P73" i="13"/>
  <c r="Q73" i="13"/>
  <c r="M74" i="13"/>
  <c r="P74" i="13"/>
  <c r="Q74" i="13"/>
  <c r="M75" i="13"/>
  <c r="P75" i="13"/>
  <c r="Q75" i="13"/>
  <c r="M76" i="13"/>
  <c r="P76" i="13"/>
  <c r="Q76" i="13"/>
  <c r="M77" i="13"/>
  <c r="P77" i="13"/>
  <c r="Q77" i="13"/>
  <c r="M78" i="13"/>
  <c r="P78" i="13"/>
  <c r="Q78" i="13"/>
  <c r="M79" i="13"/>
  <c r="P79" i="13"/>
  <c r="Q79" i="13"/>
  <c r="M80" i="13"/>
  <c r="P80" i="13"/>
  <c r="Q80" i="13"/>
  <c r="M81" i="13"/>
  <c r="P81" i="13"/>
  <c r="Q81" i="13"/>
  <c r="M82" i="13"/>
  <c r="P82" i="13"/>
  <c r="Q82" i="13"/>
  <c r="M83" i="13"/>
  <c r="P83" i="13"/>
  <c r="Q83" i="13"/>
  <c r="M84" i="13"/>
  <c r="P84" i="13"/>
  <c r="Q84" i="13"/>
  <c r="M85" i="13"/>
  <c r="P85" i="13"/>
  <c r="Q85" i="13"/>
  <c r="M86" i="13"/>
  <c r="P86" i="13"/>
  <c r="Q86" i="13"/>
  <c r="M87" i="13"/>
  <c r="P87" i="13"/>
  <c r="Q87" i="13"/>
  <c r="M88" i="13"/>
  <c r="P88" i="13"/>
  <c r="Q88" i="13"/>
  <c r="M89" i="13"/>
  <c r="P89" i="13"/>
  <c r="Q89" i="13"/>
  <c r="M90" i="13"/>
  <c r="P90" i="13"/>
  <c r="Q90" i="13"/>
  <c r="M91" i="13"/>
  <c r="P91" i="13"/>
  <c r="Q91" i="13"/>
  <c r="M92" i="13"/>
  <c r="P92" i="13"/>
  <c r="Q92" i="13"/>
  <c r="M93" i="13"/>
  <c r="P93" i="13"/>
  <c r="Q93" i="13"/>
  <c r="M94" i="13"/>
  <c r="P94" i="13"/>
  <c r="Q94" i="13"/>
  <c r="M95" i="13"/>
  <c r="P95" i="13"/>
  <c r="Q95" i="13"/>
  <c r="M96" i="13"/>
  <c r="P96" i="13"/>
  <c r="Q96" i="13"/>
  <c r="M97" i="13"/>
  <c r="P97" i="13"/>
  <c r="Q97" i="13"/>
  <c r="M98" i="13"/>
  <c r="P98" i="13"/>
  <c r="Q98" i="13"/>
  <c r="M99" i="13"/>
  <c r="P99" i="13"/>
  <c r="Q99" i="13"/>
  <c r="M100" i="13"/>
  <c r="P100" i="13"/>
  <c r="Q100" i="13"/>
  <c r="M101" i="13"/>
  <c r="P101" i="13"/>
  <c r="Q101" i="13"/>
  <c r="M102" i="13"/>
  <c r="P102" i="13"/>
  <c r="Q102" i="13"/>
  <c r="M103" i="13"/>
  <c r="P103" i="13"/>
  <c r="Q103" i="13"/>
  <c r="O20" i="13"/>
  <c r="O21" i="13"/>
  <c r="O22" i="13"/>
  <c r="O23" i="13"/>
  <c r="O24" i="13"/>
  <c r="O25" i="13"/>
  <c r="O26" i="13"/>
  <c r="O27" i="13"/>
  <c r="O28" i="13"/>
  <c r="O29" i="13"/>
  <c r="O30" i="13"/>
  <c r="O31" i="13"/>
  <c r="O32" i="13"/>
  <c r="O33" i="13"/>
  <c r="O34" i="13"/>
  <c r="O35" i="13"/>
  <c r="O36" i="13"/>
  <c r="O37" i="13"/>
  <c r="O38" i="13"/>
  <c r="O39" i="13"/>
  <c r="O40" i="13"/>
  <c r="O41" i="13"/>
  <c r="O42" i="13"/>
  <c r="O43" i="13"/>
  <c r="O44" i="13"/>
  <c r="O45" i="13"/>
  <c r="O46" i="13"/>
  <c r="O47" i="13"/>
  <c r="O48" i="13"/>
  <c r="O49" i="13"/>
  <c r="O50" i="13"/>
  <c r="O51" i="13"/>
  <c r="O52" i="13"/>
  <c r="O53" i="13"/>
  <c r="O54" i="13"/>
  <c r="O55" i="13"/>
  <c r="O56" i="13"/>
  <c r="O57" i="13"/>
  <c r="O58" i="13"/>
  <c r="O59" i="13"/>
  <c r="O60" i="13"/>
  <c r="O61" i="13"/>
  <c r="O62" i="13"/>
  <c r="O63" i="13"/>
  <c r="O64" i="13"/>
  <c r="O65" i="13"/>
  <c r="O66" i="13"/>
  <c r="O67" i="13"/>
  <c r="O68" i="13"/>
  <c r="O69" i="13"/>
  <c r="O70" i="13"/>
  <c r="O71" i="13"/>
  <c r="O72" i="13"/>
  <c r="O73" i="13"/>
  <c r="O74" i="13"/>
  <c r="O75" i="13"/>
  <c r="O76" i="13"/>
  <c r="O77" i="13"/>
  <c r="O78" i="13"/>
  <c r="O79" i="13"/>
  <c r="O80" i="13"/>
  <c r="O81" i="13"/>
  <c r="O82" i="13"/>
  <c r="O83" i="13"/>
  <c r="O84" i="13"/>
  <c r="O85" i="13"/>
  <c r="O86" i="13"/>
  <c r="O87" i="13"/>
  <c r="O88" i="13"/>
  <c r="O89" i="13"/>
  <c r="O90" i="13"/>
  <c r="O91" i="13"/>
  <c r="O92" i="13"/>
  <c r="O93" i="13"/>
  <c r="O94" i="13"/>
  <c r="O95" i="13"/>
  <c r="O96" i="13"/>
  <c r="O97" i="13"/>
  <c r="O98" i="13"/>
  <c r="O99" i="13"/>
  <c r="O100" i="13"/>
  <c r="O101" i="13"/>
  <c r="O102" i="13"/>
  <c r="O103" i="13"/>
  <c r="O19" i="13"/>
  <c r="P14" i="13"/>
  <c r="W103" i="13"/>
  <c r="W102" i="13"/>
  <c r="W101" i="13"/>
  <c r="W100" i="13"/>
  <c r="W99" i="13"/>
  <c r="W98" i="13"/>
  <c r="W97" i="13"/>
  <c r="W96" i="13"/>
  <c r="W95" i="13"/>
  <c r="W94" i="13"/>
  <c r="W93" i="13"/>
  <c r="W92" i="13"/>
  <c r="W91" i="13"/>
  <c r="W90" i="13"/>
  <c r="W89" i="13"/>
  <c r="W88" i="13"/>
  <c r="W87" i="13"/>
  <c r="W86" i="13"/>
  <c r="W85" i="13"/>
  <c r="W84" i="13"/>
  <c r="W83" i="13"/>
  <c r="W82" i="13"/>
  <c r="W81" i="13"/>
  <c r="W80" i="13"/>
  <c r="W79" i="13"/>
  <c r="W78" i="13"/>
  <c r="W77" i="13"/>
  <c r="W76" i="13"/>
  <c r="W75" i="13"/>
  <c r="W74" i="13"/>
  <c r="W73" i="13"/>
  <c r="W72" i="13"/>
  <c r="W71" i="13"/>
  <c r="W70" i="13"/>
  <c r="W69" i="13"/>
  <c r="W68" i="13"/>
  <c r="W67" i="13"/>
  <c r="W66" i="13"/>
  <c r="W65" i="13"/>
  <c r="W64" i="13"/>
  <c r="W63" i="13"/>
  <c r="W62" i="13"/>
  <c r="W61" i="13"/>
  <c r="W60" i="13"/>
  <c r="W59" i="13"/>
  <c r="W58" i="13"/>
  <c r="W57" i="13"/>
  <c r="W56" i="13"/>
  <c r="W55" i="13"/>
  <c r="W54" i="13"/>
  <c r="W53" i="13"/>
  <c r="W52" i="13"/>
  <c r="W51" i="13"/>
  <c r="W50" i="13"/>
  <c r="W49" i="13"/>
  <c r="W48" i="13"/>
  <c r="W47" i="13"/>
  <c r="W46" i="13"/>
  <c r="W45" i="13"/>
  <c r="W44" i="13"/>
  <c r="W43" i="13"/>
  <c r="W42" i="13"/>
  <c r="W41" i="13"/>
  <c r="W40" i="13"/>
  <c r="W39" i="13"/>
  <c r="W38" i="13"/>
  <c r="W37" i="13"/>
  <c r="W36" i="13"/>
  <c r="W35" i="13"/>
  <c r="W34" i="13"/>
  <c r="W33" i="13"/>
  <c r="W32" i="13"/>
  <c r="W31" i="13"/>
  <c r="W30" i="13"/>
  <c r="W29" i="13"/>
  <c r="W28" i="13"/>
  <c r="W27" i="13"/>
  <c r="W26" i="13"/>
  <c r="W25" i="13"/>
  <c r="W24" i="13"/>
  <c r="W23" i="13"/>
  <c r="W22" i="13"/>
  <c r="W21" i="13"/>
  <c r="W20" i="13"/>
  <c r="W19" i="13"/>
  <c r="X103" i="13"/>
  <c r="X102" i="13"/>
  <c r="X101" i="13"/>
  <c r="X100" i="13"/>
  <c r="X99" i="13"/>
  <c r="X98" i="13"/>
  <c r="X97" i="13"/>
  <c r="X96" i="13"/>
  <c r="X95" i="13"/>
  <c r="X94" i="13"/>
  <c r="X93" i="13"/>
  <c r="X92" i="13"/>
  <c r="X91" i="13"/>
  <c r="X90" i="13"/>
  <c r="X89" i="13"/>
  <c r="X88" i="13"/>
  <c r="X87" i="13"/>
  <c r="X86" i="13"/>
  <c r="X85" i="13"/>
  <c r="X84" i="13"/>
  <c r="X83" i="13"/>
  <c r="X82" i="13"/>
  <c r="X81" i="13"/>
  <c r="X80" i="13"/>
  <c r="X79" i="13"/>
  <c r="X78" i="13"/>
  <c r="X77" i="13"/>
  <c r="X76" i="13"/>
  <c r="X75" i="13"/>
  <c r="X74" i="13"/>
  <c r="X73" i="13"/>
  <c r="X72" i="13"/>
  <c r="X71" i="13"/>
  <c r="X70" i="13"/>
  <c r="X69" i="13"/>
  <c r="X68" i="13"/>
  <c r="X67" i="13"/>
  <c r="X66" i="13"/>
  <c r="X65" i="13"/>
  <c r="X64" i="13"/>
  <c r="X63" i="13"/>
  <c r="X62" i="13"/>
  <c r="X61" i="13"/>
  <c r="X60" i="13"/>
  <c r="X59" i="13"/>
  <c r="X58" i="13"/>
  <c r="X57" i="13"/>
  <c r="X56" i="13"/>
  <c r="X55" i="13"/>
  <c r="X54" i="13"/>
  <c r="X53" i="13"/>
  <c r="X52" i="13"/>
  <c r="X51" i="13"/>
  <c r="X50" i="13"/>
  <c r="X49" i="13"/>
  <c r="X48" i="13"/>
  <c r="X47" i="13"/>
  <c r="X46" i="13"/>
  <c r="X45" i="13"/>
  <c r="X44" i="13"/>
  <c r="X43" i="13"/>
  <c r="X42" i="13"/>
  <c r="X41" i="13"/>
  <c r="X40" i="13"/>
  <c r="X39" i="13"/>
  <c r="X38" i="13"/>
  <c r="X37" i="13"/>
  <c r="X36" i="13"/>
  <c r="X35" i="13"/>
  <c r="X34" i="13"/>
  <c r="X33" i="13"/>
  <c r="X32" i="13"/>
  <c r="X31" i="13"/>
  <c r="X30" i="13"/>
  <c r="X29" i="13"/>
  <c r="X28" i="13"/>
  <c r="X27" i="13"/>
  <c r="X26" i="13"/>
  <c r="X25" i="13"/>
  <c r="X24" i="13"/>
  <c r="X23" i="13"/>
  <c r="X22" i="13"/>
  <c r="X21" i="13"/>
  <c r="X20" i="13"/>
  <c r="X19" i="13"/>
  <c r="R103" i="13"/>
  <c r="R102" i="13"/>
  <c r="R101" i="13"/>
  <c r="R100" i="13"/>
  <c r="R99" i="13"/>
  <c r="R98" i="13"/>
  <c r="R97" i="13"/>
  <c r="R96" i="13"/>
  <c r="R95" i="13"/>
  <c r="R94" i="13"/>
  <c r="R93" i="13"/>
  <c r="R92" i="13"/>
  <c r="R91" i="13"/>
  <c r="R90" i="13"/>
  <c r="R89" i="13"/>
  <c r="R88" i="13"/>
  <c r="R87" i="13"/>
  <c r="R86" i="13"/>
  <c r="R85" i="13"/>
  <c r="R84" i="13"/>
  <c r="R83" i="13"/>
  <c r="R82" i="13"/>
  <c r="R81" i="13"/>
  <c r="R80" i="13"/>
  <c r="R79" i="13"/>
  <c r="R78" i="13"/>
  <c r="R77" i="13"/>
  <c r="R76" i="13"/>
  <c r="R75" i="13"/>
  <c r="R74" i="13"/>
  <c r="R73" i="13"/>
  <c r="R72" i="13"/>
  <c r="R71" i="13"/>
  <c r="R70" i="13"/>
  <c r="R69" i="13"/>
  <c r="R68" i="13"/>
  <c r="R67" i="13"/>
  <c r="R66" i="13"/>
  <c r="R65" i="13"/>
  <c r="R64" i="13"/>
  <c r="R63" i="13"/>
  <c r="R62" i="13"/>
  <c r="R61" i="13"/>
  <c r="R60" i="13"/>
  <c r="R59" i="13"/>
  <c r="R58" i="13"/>
  <c r="R57" i="13"/>
  <c r="R56" i="13"/>
  <c r="R55" i="13"/>
  <c r="R54" i="13"/>
  <c r="R53" i="13"/>
  <c r="R52" i="13"/>
  <c r="R51" i="13"/>
  <c r="R50" i="13"/>
  <c r="R49" i="13"/>
  <c r="R48" i="13"/>
  <c r="R47" i="13"/>
  <c r="R46" i="13"/>
  <c r="R45" i="13"/>
  <c r="R44" i="13"/>
  <c r="R43" i="13"/>
  <c r="R42" i="13"/>
  <c r="R41" i="13"/>
  <c r="R40" i="13"/>
  <c r="R39" i="13"/>
  <c r="R38" i="13"/>
  <c r="R37" i="13"/>
  <c r="R36" i="13"/>
  <c r="R35" i="13"/>
  <c r="R34" i="13"/>
  <c r="R33" i="13"/>
  <c r="R32" i="13"/>
  <c r="R31" i="13"/>
  <c r="R30" i="13"/>
  <c r="R29" i="13"/>
  <c r="R28" i="13"/>
  <c r="R27" i="13"/>
  <c r="R26" i="13"/>
  <c r="R25" i="13"/>
  <c r="R24" i="13"/>
  <c r="R23" i="13"/>
  <c r="R22" i="13"/>
  <c r="R21" i="13"/>
  <c r="R20" i="13"/>
  <c r="R19" i="13"/>
  <c r="D16" i="13"/>
  <c r="I16" i="13"/>
  <c r="J16" i="13"/>
  <c r="K16" i="13"/>
  <c r="H17" i="13"/>
  <c r="H16" i="13"/>
  <c r="V16" i="13"/>
  <c r="V17" i="13"/>
  <c r="W17" i="13"/>
  <c r="X17" i="13"/>
  <c r="Q17" i="13"/>
  <c r="AD19" i="13"/>
  <c r="AD20" i="13"/>
  <c r="AD21" i="13"/>
  <c r="AD22" i="13"/>
  <c r="AD23" i="13"/>
  <c r="AD24" i="13"/>
  <c r="AD25" i="13"/>
  <c r="AD26" i="13"/>
  <c r="AD27" i="13"/>
  <c r="AD28" i="13"/>
  <c r="AD29" i="13"/>
  <c r="AD30" i="13"/>
  <c r="AD31" i="13"/>
  <c r="AD32" i="13"/>
  <c r="AD33" i="13"/>
  <c r="AD34" i="13"/>
  <c r="AD35" i="13"/>
  <c r="AD36" i="13"/>
  <c r="AD37" i="13"/>
  <c r="AD38" i="13"/>
  <c r="AD39" i="13"/>
  <c r="AD40" i="13"/>
  <c r="AD41" i="13"/>
  <c r="AD42" i="13"/>
  <c r="AD43" i="13"/>
  <c r="AD44" i="13"/>
  <c r="AD45" i="13"/>
  <c r="AD46" i="13"/>
  <c r="AD47" i="13"/>
  <c r="AD48" i="13"/>
  <c r="AD49" i="13"/>
  <c r="AD50" i="13"/>
  <c r="AD51" i="13"/>
  <c r="AD52" i="13"/>
  <c r="AD53" i="13"/>
  <c r="AD54" i="13"/>
  <c r="AD55" i="13"/>
  <c r="AD56" i="13"/>
  <c r="AD57" i="13"/>
  <c r="AD58" i="13"/>
  <c r="AD59" i="13"/>
  <c r="AD60" i="13"/>
  <c r="AD61" i="13"/>
  <c r="AD62" i="13"/>
  <c r="AD63" i="13"/>
  <c r="AD64" i="13"/>
  <c r="AD65" i="13"/>
  <c r="AD66" i="13"/>
  <c r="AD67" i="13"/>
  <c r="AD68" i="13"/>
  <c r="AD69" i="13"/>
  <c r="AD70" i="13"/>
  <c r="AD71" i="13"/>
  <c r="AD72" i="13"/>
  <c r="AD73" i="13"/>
  <c r="AD74" i="13"/>
  <c r="AD75" i="13"/>
  <c r="AD76" i="13"/>
  <c r="AD77" i="13"/>
  <c r="AD78" i="13"/>
  <c r="AD79" i="13"/>
  <c r="AD80" i="13"/>
  <c r="AD81" i="13"/>
  <c r="AD82" i="13"/>
  <c r="AD83" i="13"/>
  <c r="AD84" i="13"/>
  <c r="AD85" i="13"/>
  <c r="AD86" i="13"/>
  <c r="AD87" i="13"/>
  <c r="AD88" i="13"/>
  <c r="AD89" i="13"/>
  <c r="AD90" i="13"/>
  <c r="AD91" i="13"/>
  <c r="AD92" i="13"/>
  <c r="AD93" i="13"/>
  <c r="AD94" i="13"/>
  <c r="AD95" i="13"/>
  <c r="AD96" i="13"/>
  <c r="AD97" i="13"/>
  <c r="AD98" i="13"/>
  <c r="AD99" i="13"/>
  <c r="AD100" i="13"/>
  <c r="AD101" i="13"/>
  <c r="AD102" i="13"/>
  <c r="AD103" i="13"/>
  <c r="P16" i="13"/>
  <c r="X16" i="13"/>
  <c r="Q16" i="13"/>
  <c r="W16" i="13"/>
  <c r="F16" i="17"/>
  <c r="F24" i="17"/>
  <c r="F14" i="16"/>
  <c r="F20" i="16"/>
  <c r="R16" i="13"/>
  <c r="G4" i="13"/>
  <c r="I4" i="13"/>
  <c r="F23" i="16"/>
  <c r="F25" i="16"/>
  <c r="Y19" i="13"/>
  <c r="Y20" i="13"/>
  <c r="Y21" i="13"/>
  <c r="Y22" i="13"/>
  <c r="Y23" i="13"/>
  <c r="Y24" i="13"/>
  <c r="Y25" i="13"/>
  <c r="Y26" i="13"/>
  <c r="Y27" i="13"/>
  <c r="Y28" i="13"/>
  <c r="Y29" i="13"/>
  <c r="Y30" i="13"/>
  <c r="Y31" i="13"/>
  <c r="Y32" i="13"/>
  <c r="Y33" i="13"/>
  <c r="Y34" i="13"/>
  <c r="Y35" i="13"/>
  <c r="Y36" i="13"/>
  <c r="Y37" i="13"/>
  <c r="Y38" i="13"/>
  <c r="Y39" i="13"/>
  <c r="Y40" i="13"/>
  <c r="Y41" i="13"/>
  <c r="Y42" i="13"/>
  <c r="Y43" i="13"/>
  <c r="Y44" i="13"/>
  <c r="Y45" i="13"/>
  <c r="Y46" i="13"/>
  <c r="Y47" i="13"/>
  <c r="Y48" i="13"/>
  <c r="Y49" i="13"/>
  <c r="Y50" i="13"/>
  <c r="Y51" i="13"/>
  <c r="Y52" i="13"/>
  <c r="Y53" i="13"/>
  <c r="Y54" i="13"/>
  <c r="Y55" i="13"/>
  <c r="Y56" i="13"/>
  <c r="Y57" i="13"/>
  <c r="Y58" i="13"/>
  <c r="Y59" i="13"/>
  <c r="Y60" i="13"/>
  <c r="Y61" i="13"/>
  <c r="Y62" i="13"/>
  <c r="Y63" i="13"/>
  <c r="Y64" i="13"/>
  <c r="Y65" i="13"/>
  <c r="Y66" i="13"/>
  <c r="Y67" i="13"/>
  <c r="Y68" i="13"/>
  <c r="Y69" i="13"/>
  <c r="Y70" i="13"/>
  <c r="Y71" i="13"/>
  <c r="Y72" i="13"/>
  <c r="Y73" i="13"/>
  <c r="Y74" i="13"/>
  <c r="Y75" i="13"/>
  <c r="Y76" i="13"/>
  <c r="Y77" i="13"/>
  <c r="Y78" i="13"/>
  <c r="Y79" i="13"/>
  <c r="Y80" i="13"/>
  <c r="Y81" i="13"/>
  <c r="Y82" i="13"/>
  <c r="Y83" i="13"/>
  <c r="Y84" i="13"/>
  <c r="Y85" i="13"/>
  <c r="Y86" i="13"/>
  <c r="Y87" i="13"/>
  <c r="Y88" i="13"/>
  <c r="Y89" i="13"/>
  <c r="Y90" i="13"/>
  <c r="Y91" i="13"/>
  <c r="Y92" i="13"/>
  <c r="Y93" i="13"/>
  <c r="Y94" i="13"/>
  <c r="Y95" i="13"/>
  <c r="Y96" i="13"/>
  <c r="Y97" i="13"/>
  <c r="Y98" i="13"/>
  <c r="Y99" i="13"/>
  <c r="Y100" i="13"/>
  <c r="Y101" i="13"/>
  <c r="Y102" i="13"/>
  <c r="Y103" i="13"/>
  <c r="Y16" i="13"/>
  <c r="K14" i="13"/>
  <c r="G5" i="13"/>
  <c r="C33" i="7"/>
  <c r="D33" i="7"/>
  <c r="AB19" i="13"/>
  <c r="AB20" i="13"/>
  <c r="AB21" i="13"/>
  <c r="AB22" i="13"/>
  <c r="AB23" i="13"/>
  <c r="AB24" i="13"/>
  <c r="AB25" i="13"/>
  <c r="AB26" i="13"/>
  <c r="AB27" i="13"/>
  <c r="AB28" i="13"/>
  <c r="AB29" i="13"/>
  <c r="AB30" i="13"/>
  <c r="AB31" i="13"/>
  <c r="AB32" i="13"/>
  <c r="AB33" i="13"/>
  <c r="AB34" i="13"/>
  <c r="AB35" i="13"/>
  <c r="AB36" i="13"/>
  <c r="AB37" i="13"/>
  <c r="AB38" i="13"/>
  <c r="AB39" i="13"/>
  <c r="AB40" i="13"/>
  <c r="AB41" i="13"/>
  <c r="AB42" i="13"/>
  <c r="AB43" i="13"/>
  <c r="AB44" i="13"/>
  <c r="AB45" i="13"/>
  <c r="AB46" i="13"/>
  <c r="AB47" i="13"/>
  <c r="AB48" i="13"/>
  <c r="AB49" i="13"/>
  <c r="AB50" i="13"/>
  <c r="AB51" i="13"/>
  <c r="AB52" i="13"/>
  <c r="AB53" i="13"/>
  <c r="AB54" i="13"/>
  <c r="AB55" i="13"/>
  <c r="AB56" i="13"/>
  <c r="AB57" i="13"/>
  <c r="AB58" i="13"/>
  <c r="AB59" i="13"/>
  <c r="AB60" i="13"/>
  <c r="AB61" i="13"/>
  <c r="AB62" i="13"/>
  <c r="AB63" i="13"/>
  <c r="AB64" i="13"/>
  <c r="AB65" i="13"/>
  <c r="AB66" i="13"/>
  <c r="AB67" i="13"/>
  <c r="AB68" i="13"/>
  <c r="AB69" i="13"/>
  <c r="AB70" i="13"/>
  <c r="AB71" i="13"/>
  <c r="AB72" i="13"/>
  <c r="AB73" i="13"/>
  <c r="AB74" i="13"/>
  <c r="AB75" i="13"/>
  <c r="AB76" i="13"/>
  <c r="AB77" i="13"/>
  <c r="AB78" i="13"/>
  <c r="AB79" i="13"/>
  <c r="F16" i="16"/>
  <c r="F24" i="16"/>
  <c r="F13" i="16"/>
  <c r="F15" i="16"/>
  <c r="S103" i="13"/>
  <c r="T103" i="13"/>
  <c r="U103" i="13"/>
  <c r="S102" i="13"/>
  <c r="T102" i="13"/>
  <c r="U102" i="13"/>
  <c r="S101" i="13"/>
  <c r="T101" i="13"/>
  <c r="U101" i="13"/>
  <c r="S100" i="13"/>
  <c r="T100" i="13"/>
  <c r="U100" i="13"/>
  <c r="S99" i="13"/>
  <c r="T99" i="13"/>
  <c r="U99" i="13"/>
  <c r="S98" i="13"/>
  <c r="T98" i="13"/>
  <c r="U98" i="13"/>
  <c r="S97" i="13"/>
  <c r="T97" i="13"/>
  <c r="U97" i="13"/>
  <c r="S96" i="13"/>
  <c r="T96" i="13"/>
  <c r="U96" i="13"/>
  <c r="S95" i="13"/>
  <c r="T95" i="13"/>
  <c r="U95" i="13"/>
  <c r="S94" i="13"/>
  <c r="T94" i="13"/>
  <c r="U94" i="13"/>
  <c r="S93" i="13"/>
  <c r="T93" i="13"/>
  <c r="U93" i="13"/>
  <c r="S92" i="13"/>
  <c r="T92" i="13"/>
  <c r="U92" i="13"/>
  <c r="S91" i="13"/>
  <c r="T91" i="13"/>
  <c r="U91" i="13"/>
  <c r="S90" i="13"/>
  <c r="T90" i="13"/>
  <c r="U90" i="13"/>
  <c r="S89" i="13"/>
  <c r="T89" i="13"/>
  <c r="U89" i="13"/>
  <c r="S88" i="13"/>
  <c r="T88" i="13"/>
  <c r="U88" i="13"/>
  <c r="S87" i="13"/>
  <c r="T87" i="13"/>
  <c r="U87" i="13"/>
  <c r="S86" i="13"/>
  <c r="T86" i="13"/>
  <c r="U86" i="13"/>
  <c r="S85" i="13"/>
  <c r="T85" i="13"/>
  <c r="U85" i="13"/>
  <c r="S84" i="13"/>
  <c r="T84" i="13"/>
  <c r="U84" i="13"/>
  <c r="S83" i="13"/>
  <c r="T83" i="13"/>
  <c r="U83" i="13"/>
  <c r="S82" i="13"/>
  <c r="T82" i="13"/>
  <c r="U82" i="13"/>
  <c r="S81" i="13"/>
  <c r="T81" i="13"/>
  <c r="U81" i="13"/>
  <c r="S80" i="13"/>
  <c r="T80" i="13"/>
  <c r="U80" i="13"/>
  <c r="S79" i="13"/>
  <c r="T79" i="13"/>
  <c r="U79" i="13"/>
  <c r="S78" i="13"/>
  <c r="T78" i="13"/>
  <c r="U78" i="13"/>
  <c r="S77" i="13"/>
  <c r="T77" i="13"/>
  <c r="U77" i="13"/>
  <c r="S76" i="13"/>
  <c r="T76" i="13"/>
  <c r="U76" i="13"/>
  <c r="S75" i="13"/>
  <c r="T75" i="13"/>
  <c r="U75" i="13"/>
  <c r="S74" i="13"/>
  <c r="T74" i="13"/>
  <c r="U74" i="13"/>
  <c r="S73" i="13"/>
  <c r="T73" i="13"/>
  <c r="U73" i="13"/>
  <c r="S72" i="13"/>
  <c r="T72" i="13"/>
  <c r="U72" i="13"/>
  <c r="S71" i="13"/>
  <c r="T71" i="13"/>
  <c r="U71" i="13"/>
  <c r="S70" i="13"/>
  <c r="T70" i="13"/>
  <c r="U70" i="13"/>
  <c r="S69" i="13"/>
  <c r="T69" i="13"/>
  <c r="U69" i="13"/>
  <c r="S68" i="13"/>
  <c r="T68" i="13"/>
  <c r="U68" i="13"/>
  <c r="S67" i="13"/>
  <c r="T67" i="13"/>
  <c r="U67" i="13"/>
  <c r="S66" i="13"/>
  <c r="T66" i="13"/>
  <c r="U66" i="13"/>
  <c r="S65" i="13"/>
  <c r="T65" i="13"/>
  <c r="U65" i="13"/>
  <c r="S64" i="13"/>
  <c r="T64" i="13"/>
  <c r="U64" i="13"/>
  <c r="S63" i="13"/>
  <c r="T63" i="13"/>
  <c r="U63" i="13"/>
  <c r="S62" i="13"/>
  <c r="T62" i="13"/>
  <c r="U62" i="13"/>
  <c r="S61" i="13"/>
  <c r="T61" i="13"/>
  <c r="U61" i="13"/>
  <c r="S60" i="13"/>
  <c r="T60" i="13"/>
  <c r="U60" i="13"/>
  <c r="S59" i="13"/>
  <c r="T59" i="13"/>
  <c r="U59" i="13"/>
  <c r="S58" i="13"/>
  <c r="T58" i="13"/>
  <c r="U58" i="13"/>
  <c r="S57" i="13"/>
  <c r="T57" i="13"/>
  <c r="U57" i="13"/>
  <c r="S56" i="13"/>
  <c r="T56" i="13"/>
  <c r="U56" i="13"/>
  <c r="S55" i="13"/>
  <c r="T55" i="13"/>
  <c r="U55" i="13"/>
  <c r="S54" i="13"/>
  <c r="T54" i="13"/>
  <c r="U54" i="13"/>
  <c r="S53" i="13"/>
  <c r="T53" i="13"/>
  <c r="U53" i="13"/>
  <c r="S52" i="13"/>
  <c r="T52" i="13"/>
  <c r="U52" i="13"/>
  <c r="S51" i="13"/>
  <c r="T51" i="13"/>
  <c r="U51" i="13"/>
  <c r="S50" i="13"/>
  <c r="T50" i="13"/>
  <c r="U50" i="13"/>
  <c r="S49" i="13"/>
  <c r="T49" i="13"/>
  <c r="U49" i="13"/>
  <c r="S48" i="13"/>
  <c r="T48" i="13"/>
  <c r="U48" i="13"/>
  <c r="S47" i="13"/>
  <c r="T47" i="13"/>
  <c r="U47" i="13"/>
  <c r="S46" i="13"/>
  <c r="T46" i="13"/>
  <c r="U46" i="13"/>
  <c r="S45" i="13"/>
  <c r="T45" i="13"/>
  <c r="U45" i="13"/>
  <c r="S44" i="13"/>
  <c r="T44" i="13"/>
  <c r="U44" i="13"/>
  <c r="S43" i="13"/>
  <c r="T43" i="13"/>
  <c r="U43" i="13"/>
  <c r="S42" i="13"/>
  <c r="T42" i="13"/>
  <c r="U42" i="13"/>
  <c r="S41" i="13"/>
  <c r="T41" i="13"/>
  <c r="U41" i="13"/>
  <c r="S40" i="13"/>
  <c r="T40" i="13"/>
  <c r="U40" i="13"/>
  <c r="S39" i="13"/>
  <c r="T39" i="13"/>
  <c r="U39" i="13"/>
  <c r="S38" i="13"/>
  <c r="T38" i="13"/>
  <c r="U38" i="13"/>
  <c r="S37" i="13"/>
  <c r="T37" i="13"/>
  <c r="U37" i="13"/>
  <c r="S36" i="13"/>
  <c r="T36" i="13"/>
  <c r="U36" i="13"/>
  <c r="S35" i="13"/>
  <c r="T35" i="13"/>
  <c r="U35" i="13"/>
  <c r="S34" i="13"/>
  <c r="T34" i="13"/>
  <c r="U34" i="13"/>
  <c r="S33" i="13"/>
  <c r="T33" i="13"/>
  <c r="U33" i="13"/>
  <c r="S32" i="13"/>
  <c r="T32" i="13"/>
  <c r="U32" i="13"/>
  <c r="S31" i="13"/>
  <c r="T31" i="13"/>
  <c r="U31" i="13"/>
  <c r="S30" i="13"/>
  <c r="T30" i="13"/>
  <c r="U30" i="13"/>
  <c r="S29" i="13"/>
  <c r="T29" i="13"/>
  <c r="U29" i="13"/>
  <c r="S28" i="13"/>
  <c r="T28" i="13"/>
  <c r="U28" i="13"/>
  <c r="S27" i="13"/>
  <c r="T27" i="13"/>
  <c r="U27" i="13"/>
  <c r="S26" i="13"/>
  <c r="T26" i="13"/>
  <c r="U26" i="13"/>
  <c r="S25" i="13"/>
  <c r="T25" i="13"/>
  <c r="U25" i="13"/>
  <c r="S24" i="13"/>
  <c r="T24" i="13"/>
  <c r="U24" i="13"/>
  <c r="S23" i="13"/>
  <c r="T23" i="13"/>
  <c r="U23" i="13"/>
  <c r="S22" i="13"/>
  <c r="T22" i="13"/>
  <c r="U22" i="13"/>
  <c r="S21" i="13"/>
  <c r="T21" i="13"/>
  <c r="U21" i="13"/>
  <c r="S20" i="13"/>
  <c r="T20" i="13"/>
  <c r="U20" i="13"/>
  <c r="S19" i="13"/>
  <c r="T19" i="13"/>
  <c r="U19" i="13"/>
  <c r="G8" i="13"/>
  <c r="I8" i="13"/>
  <c r="H4" i="13"/>
  <c r="F19" i="16"/>
  <c r="P17" i="13"/>
  <c r="F14" i="17"/>
  <c r="F20" i="17"/>
  <c r="F13" i="17"/>
  <c r="F15" i="17"/>
  <c r="F19" i="17"/>
  <c r="G9" i="13"/>
  <c r="F21" i="16"/>
  <c r="F21" i="17"/>
  <c r="L7" i="14"/>
  <c r="N7" i="14"/>
  <c r="O7" i="14"/>
  <c r="P7" i="14"/>
  <c r="L8" i="14"/>
  <c r="N8" i="14"/>
  <c r="O8" i="14"/>
  <c r="P8" i="14"/>
  <c r="L9" i="14"/>
  <c r="N9" i="14"/>
  <c r="O9" i="14"/>
  <c r="P9" i="14"/>
  <c r="L10" i="14"/>
  <c r="N10" i="14"/>
  <c r="O10" i="14"/>
  <c r="P10" i="14"/>
  <c r="L11" i="14"/>
  <c r="N11" i="14"/>
  <c r="O11" i="14"/>
  <c r="P11" i="14"/>
  <c r="L12" i="14"/>
  <c r="N12" i="14"/>
  <c r="O12" i="14"/>
  <c r="P12" i="14"/>
  <c r="L13" i="14"/>
  <c r="N13" i="14"/>
  <c r="O13" i="14"/>
  <c r="P13" i="14"/>
  <c r="L14" i="14"/>
  <c r="N14" i="14"/>
  <c r="O14" i="14"/>
  <c r="P14" i="14"/>
  <c r="L15" i="14"/>
  <c r="N15" i="14"/>
  <c r="O15" i="14"/>
  <c r="P15" i="14"/>
  <c r="L16" i="14"/>
  <c r="N16" i="14"/>
  <c r="O16" i="14"/>
  <c r="P16" i="14"/>
  <c r="L17" i="14"/>
  <c r="N17" i="14"/>
  <c r="O17" i="14"/>
  <c r="P17" i="14"/>
  <c r="L18" i="14"/>
  <c r="N18" i="14"/>
  <c r="O18" i="14"/>
  <c r="P18" i="14"/>
  <c r="L19" i="14"/>
  <c r="N19" i="14"/>
  <c r="O19" i="14"/>
  <c r="P19" i="14"/>
  <c r="L20" i="14"/>
  <c r="N20" i="14"/>
  <c r="O20" i="14"/>
  <c r="P20" i="14"/>
  <c r="L21" i="14"/>
  <c r="N21" i="14"/>
  <c r="O21" i="14"/>
  <c r="P21" i="14"/>
  <c r="L22" i="14"/>
  <c r="N22" i="14"/>
  <c r="O22" i="14"/>
  <c r="P22" i="14"/>
  <c r="L23" i="14"/>
  <c r="N23" i="14"/>
  <c r="O23" i="14"/>
  <c r="P23" i="14"/>
  <c r="L24" i="14"/>
  <c r="N24" i="14"/>
  <c r="O24" i="14"/>
  <c r="P24" i="14"/>
  <c r="L25" i="14"/>
  <c r="N25" i="14"/>
  <c r="O25" i="14"/>
  <c r="P25" i="14"/>
  <c r="L26" i="14"/>
  <c r="N26" i="14"/>
  <c r="O26" i="14"/>
  <c r="P26" i="14"/>
  <c r="L27" i="14"/>
  <c r="N27" i="14"/>
  <c r="O27" i="14"/>
  <c r="P27" i="14"/>
  <c r="L28" i="14"/>
  <c r="N28" i="14"/>
  <c r="O28" i="14"/>
  <c r="P28" i="14"/>
  <c r="AB41" i="9"/>
  <c r="L29" i="14"/>
  <c r="N29" i="14"/>
  <c r="O29" i="14"/>
  <c r="P29" i="14"/>
  <c r="AB42" i="9"/>
  <c r="L30" i="14"/>
  <c r="N30" i="14"/>
  <c r="O30" i="14"/>
  <c r="P30" i="14"/>
  <c r="AB43" i="9"/>
  <c r="L31" i="14"/>
  <c r="N31" i="14"/>
  <c r="O31" i="14"/>
  <c r="P31" i="14"/>
  <c r="AB44" i="9"/>
  <c r="L32" i="14"/>
  <c r="N32" i="14"/>
  <c r="O32" i="14"/>
  <c r="P32" i="14"/>
  <c r="AB45" i="9"/>
  <c r="L33" i="14"/>
  <c r="N33" i="14"/>
  <c r="O33" i="14"/>
  <c r="P33" i="14"/>
  <c r="AB46" i="9"/>
  <c r="L34" i="14"/>
  <c r="N34" i="14"/>
  <c r="O34" i="14"/>
  <c r="P34" i="14"/>
  <c r="AB47" i="9"/>
  <c r="L35" i="14"/>
  <c r="N35" i="14"/>
  <c r="O35" i="14"/>
  <c r="P35" i="14"/>
  <c r="AB48" i="9"/>
  <c r="L36" i="14"/>
  <c r="N36" i="14"/>
  <c r="O36" i="14"/>
  <c r="P36" i="14"/>
  <c r="AB49" i="9"/>
  <c r="L37" i="14"/>
  <c r="N37" i="14"/>
  <c r="O37" i="14"/>
  <c r="P37" i="14"/>
  <c r="AB50" i="9"/>
  <c r="L38" i="14"/>
  <c r="N38" i="14"/>
  <c r="O38" i="14"/>
  <c r="P38" i="14"/>
  <c r="AB51" i="9"/>
  <c r="L39" i="14"/>
  <c r="N39" i="14"/>
  <c r="O39" i="14"/>
  <c r="P39" i="14"/>
  <c r="AB52" i="9"/>
  <c r="L40" i="14"/>
  <c r="N40" i="14"/>
  <c r="O40" i="14"/>
  <c r="P40" i="14"/>
  <c r="AB53" i="9"/>
  <c r="L41" i="14"/>
  <c r="N41" i="14"/>
  <c r="O41" i="14"/>
  <c r="P41" i="14"/>
  <c r="AB54" i="9"/>
  <c r="L42" i="14"/>
  <c r="N42" i="14"/>
  <c r="O42" i="14"/>
  <c r="P42" i="14"/>
  <c r="AB55" i="9"/>
  <c r="L43" i="14"/>
  <c r="N43" i="14"/>
  <c r="O43" i="14"/>
  <c r="P43" i="14"/>
  <c r="AB56" i="9"/>
  <c r="L44" i="14"/>
  <c r="N44" i="14"/>
  <c r="O44" i="14"/>
  <c r="P44" i="14"/>
  <c r="AB57" i="9"/>
  <c r="L45" i="14"/>
  <c r="N45" i="14"/>
  <c r="O45" i="14"/>
  <c r="P45" i="14"/>
  <c r="AB58" i="9"/>
  <c r="L46" i="14"/>
  <c r="N46" i="14"/>
  <c r="O46" i="14"/>
  <c r="P46" i="14"/>
  <c r="AB59" i="9"/>
  <c r="L47" i="14"/>
  <c r="N47" i="14"/>
  <c r="O47" i="14"/>
  <c r="P47" i="14"/>
  <c r="AB60" i="9"/>
  <c r="L48" i="14"/>
  <c r="N48" i="14"/>
  <c r="O48" i="14"/>
  <c r="P48" i="14"/>
  <c r="AB61" i="9"/>
  <c r="L49" i="14"/>
  <c r="N49" i="14"/>
  <c r="O49" i="14"/>
  <c r="P49" i="14"/>
  <c r="AB62" i="9"/>
  <c r="L50" i="14"/>
  <c r="N50" i="14"/>
  <c r="O50" i="14"/>
  <c r="P50" i="14"/>
  <c r="AB63" i="9"/>
  <c r="L51" i="14"/>
  <c r="N51" i="14"/>
  <c r="O51" i="14"/>
  <c r="P51" i="14"/>
  <c r="AB64" i="9"/>
  <c r="L52" i="14"/>
  <c r="N52" i="14"/>
  <c r="O52" i="14"/>
  <c r="P52" i="14"/>
  <c r="AB65" i="9"/>
  <c r="L53" i="14"/>
  <c r="N53" i="14"/>
  <c r="O53" i="14"/>
  <c r="P53" i="14"/>
  <c r="AB66" i="9"/>
  <c r="L54" i="14"/>
  <c r="N54" i="14"/>
  <c r="O54" i="14"/>
  <c r="P54" i="14"/>
  <c r="AB67" i="9"/>
  <c r="L55" i="14"/>
  <c r="N55" i="14"/>
  <c r="O55" i="14"/>
  <c r="P55" i="14"/>
  <c r="AB68" i="9"/>
  <c r="L56" i="14"/>
  <c r="N56" i="14"/>
  <c r="O56" i="14"/>
  <c r="P56" i="14"/>
  <c r="AB69" i="9"/>
  <c r="L57" i="14"/>
  <c r="N57" i="14"/>
  <c r="O57" i="14"/>
  <c r="P57" i="14"/>
  <c r="AB70" i="9"/>
  <c r="L58" i="14"/>
  <c r="N58" i="14"/>
  <c r="O58" i="14"/>
  <c r="P58" i="14"/>
  <c r="AB71" i="9"/>
  <c r="L59" i="14"/>
  <c r="N59" i="14"/>
  <c r="O59" i="14"/>
  <c r="P59" i="14"/>
  <c r="AB72" i="9"/>
  <c r="L60" i="14"/>
  <c r="N60" i="14"/>
  <c r="O60" i="14"/>
  <c r="P60" i="14"/>
  <c r="AB73" i="9"/>
  <c r="L61" i="14"/>
  <c r="N61" i="14"/>
  <c r="O61" i="14"/>
  <c r="P61" i="14"/>
  <c r="AB74" i="9"/>
  <c r="L62" i="14"/>
  <c r="N62" i="14"/>
  <c r="O62" i="14"/>
  <c r="P62" i="14"/>
  <c r="AB75" i="9"/>
  <c r="L63" i="14"/>
  <c r="N63" i="14"/>
  <c r="O63" i="14"/>
  <c r="P63" i="14"/>
  <c r="AB76" i="9"/>
  <c r="L64" i="14"/>
  <c r="N64" i="14"/>
  <c r="O64" i="14"/>
  <c r="P64" i="14"/>
  <c r="AB77" i="9"/>
  <c r="L65" i="14"/>
  <c r="N65" i="14"/>
  <c r="O65" i="14"/>
  <c r="P65" i="14"/>
  <c r="AB78" i="9"/>
  <c r="L66" i="14"/>
  <c r="N66" i="14"/>
  <c r="O66" i="14"/>
  <c r="P66" i="14"/>
  <c r="AB79" i="9"/>
  <c r="L67" i="14"/>
  <c r="N67" i="14"/>
  <c r="O67" i="14"/>
  <c r="P67" i="14"/>
  <c r="AB80" i="9"/>
  <c r="L68" i="14"/>
  <c r="N68" i="14"/>
  <c r="O68" i="14"/>
  <c r="P68" i="14"/>
  <c r="AB81" i="9"/>
  <c r="L69" i="14"/>
  <c r="AB80" i="13"/>
  <c r="N69" i="14"/>
  <c r="O69" i="14"/>
  <c r="P69" i="14"/>
  <c r="AB82" i="9"/>
  <c r="L70" i="14"/>
  <c r="AB81" i="13"/>
  <c r="N70" i="14"/>
  <c r="O70" i="14"/>
  <c r="P70" i="14"/>
  <c r="AB83" i="9"/>
  <c r="L71" i="14"/>
  <c r="AB82" i="13"/>
  <c r="N71" i="14"/>
  <c r="O71" i="14"/>
  <c r="P71" i="14"/>
  <c r="AB84" i="9"/>
  <c r="L72" i="14"/>
  <c r="AB83" i="13"/>
  <c r="N72" i="14"/>
  <c r="O72" i="14"/>
  <c r="P72" i="14"/>
  <c r="AB85" i="9"/>
  <c r="L73" i="14"/>
  <c r="AB84" i="13"/>
  <c r="N73" i="14"/>
  <c r="O73" i="14"/>
  <c r="P73" i="14"/>
  <c r="AB86" i="9"/>
  <c r="L74" i="14"/>
  <c r="AB85" i="13"/>
  <c r="N74" i="14"/>
  <c r="O74" i="14"/>
  <c r="P74" i="14"/>
  <c r="AB87" i="9"/>
  <c r="L75" i="14"/>
  <c r="AB86" i="13"/>
  <c r="N75" i="14"/>
  <c r="O75" i="14"/>
  <c r="P75" i="14"/>
  <c r="AB88" i="9"/>
  <c r="L76" i="14"/>
  <c r="AB87" i="13"/>
  <c r="N76" i="14"/>
  <c r="O76" i="14"/>
  <c r="P76" i="14"/>
  <c r="AB89" i="9"/>
  <c r="L77" i="14"/>
  <c r="AB88" i="13"/>
  <c r="N77" i="14"/>
  <c r="O77" i="14"/>
  <c r="P77" i="14"/>
  <c r="L78" i="14"/>
  <c r="AB89" i="13"/>
  <c r="N78" i="14"/>
  <c r="O78" i="14"/>
  <c r="P78" i="14"/>
  <c r="AB90" i="9"/>
  <c r="L79" i="14"/>
  <c r="N79" i="14"/>
  <c r="O79" i="14"/>
  <c r="P79" i="14"/>
  <c r="L80" i="14"/>
  <c r="AB90" i="13"/>
  <c r="N80" i="14"/>
  <c r="O80" i="14"/>
  <c r="P80" i="14"/>
  <c r="AB91" i="9"/>
  <c r="L81" i="14"/>
  <c r="N81" i="14"/>
  <c r="O81" i="14"/>
  <c r="P81" i="14"/>
  <c r="L82" i="14"/>
  <c r="AB91" i="13"/>
  <c r="N82" i="14"/>
  <c r="O82" i="14"/>
  <c r="P82" i="14"/>
  <c r="AB92" i="9"/>
  <c r="L83" i="14"/>
  <c r="N83" i="14"/>
  <c r="O83" i="14"/>
  <c r="P83" i="14"/>
  <c r="AB93" i="9"/>
  <c r="L84" i="14"/>
  <c r="AB92" i="13"/>
  <c r="N84" i="14"/>
  <c r="O84" i="14"/>
  <c r="P84" i="14"/>
  <c r="AB94" i="9"/>
  <c r="L85" i="14"/>
  <c r="AB93" i="13"/>
  <c r="N85" i="14"/>
  <c r="O85" i="14"/>
  <c r="P85" i="14"/>
  <c r="AB95" i="9"/>
  <c r="L86" i="14"/>
  <c r="AB94" i="13"/>
  <c r="N86" i="14"/>
  <c r="O86" i="14"/>
  <c r="P86" i="14"/>
  <c r="L87" i="14"/>
  <c r="AB95" i="13"/>
  <c r="N87" i="14"/>
  <c r="O87" i="14"/>
  <c r="P87" i="14"/>
  <c r="AB96" i="9"/>
  <c r="L88" i="14"/>
  <c r="N88" i="14"/>
  <c r="O88" i="14"/>
  <c r="P88" i="14"/>
  <c r="AB97" i="9"/>
  <c r="L89" i="14"/>
  <c r="AB96" i="13"/>
  <c r="N89" i="14"/>
  <c r="O89" i="14"/>
  <c r="P89" i="14"/>
  <c r="AB98" i="9"/>
  <c r="L90" i="14"/>
  <c r="AB97" i="13"/>
  <c r="N90" i="14"/>
  <c r="O90" i="14"/>
  <c r="P90" i="14"/>
  <c r="L91" i="14"/>
  <c r="AB98" i="13"/>
  <c r="N91" i="14"/>
  <c r="O91" i="14"/>
  <c r="P91" i="14"/>
  <c r="L92" i="14"/>
  <c r="N92" i="14"/>
  <c r="O92" i="14"/>
  <c r="P92" i="14"/>
  <c r="AB99" i="9"/>
  <c r="L93" i="14"/>
  <c r="N93" i="14"/>
  <c r="O93" i="14"/>
  <c r="P93" i="14"/>
  <c r="AB100" i="9"/>
  <c r="L94" i="14"/>
  <c r="AB99" i="13"/>
  <c r="N94" i="14"/>
  <c r="O94" i="14"/>
  <c r="P94" i="14"/>
  <c r="AB101" i="9"/>
  <c r="L95" i="14"/>
  <c r="AB100" i="13"/>
  <c r="N95" i="14"/>
  <c r="O95" i="14"/>
  <c r="P95" i="14"/>
  <c r="L96" i="14"/>
  <c r="AB101" i="13"/>
  <c r="N96" i="14"/>
  <c r="O96" i="14"/>
  <c r="P96" i="14"/>
  <c r="AB102" i="9"/>
  <c r="L97" i="14"/>
  <c r="N97" i="14"/>
  <c r="O97" i="14"/>
  <c r="P97" i="14"/>
  <c r="AB103" i="9"/>
  <c r="L98" i="14"/>
  <c r="AB102" i="13"/>
  <c r="N98" i="14"/>
  <c r="O98" i="14"/>
  <c r="P98" i="14"/>
  <c r="L99" i="14"/>
  <c r="AB103" i="13"/>
  <c r="N99" i="14"/>
  <c r="O99" i="14"/>
  <c r="P99" i="14"/>
  <c r="L100" i="14"/>
  <c r="N100" i="14"/>
  <c r="O100" i="14"/>
  <c r="P100" i="14"/>
  <c r="L101" i="14"/>
  <c r="N101" i="14"/>
  <c r="O101" i="14"/>
  <c r="P101" i="14"/>
  <c r="G13" i="17"/>
  <c r="G19" i="17"/>
  <c r="G14" i="17"/>
  <c r="G20" i="17"/>
  <c r="G15" i="17"/>
  <c r="G16" i="17"/>
  <c r="G24" i="17"/>
  <c r="G21" i="17"/>
  <c r="I5" i="13"/>
  <c r="F22" i="16"/>
  <c r="C27" i="7"/>
  <c r="D27" i="7"/>
  <c r="W17" i="2"/>
  <c r="X17" i="2"/>
  <c r="R16" i="2"/>
  <c r="G4" i="2"/>
  <c r="C24" i="7"/>
  <c r="D24" i="7"/>
  <c r="I4" i="2"/>
  <c r="C23" i="16"/>
  <c r="G23" i="16"/>
  <c r="G14" i="16"/>
  <c r="G20" i="16"/>
  <c r="G25" i="16"/>
  <c r="H4" i="2"/>
  <c r="G8" i="2"/>
  <c r="I8" i="2"/>
  <c r="S19" i="2"/>
  <c r="T19" i="2"/>
  <c r="U19" i="2"/>
  <c r="S20" i="2"/>
  <c r="T20" i="2"/>
  <c r="U20" i="2"/>
  <c r="S21" i="2"/>
  <c r="T21" i="2"/>
  <c r="U21" i="2"/>
  <c r="S22" i="2"/>
  <c r="T22" i="2"/>
  <c r="U22" i="2"/>
  <c r="S23" i="2"/>
  <c r="T23" i="2"/>
  <c r="U23" i="2"/>
  <c r="S24" i="2"/>
  <c r="T24" i="2"/>
  <c r="U24" i="2"/>
  <c r="S25" i="2"/>
  <c r="T25" i="2"/>
  <c r="U25" i="2"/>
  <c r="S26" i="2"/>
  <c r="T26" i="2"/>
  <c r="U26" i="2"/>
  <c r="S27" i="2"/>
  <c r="T27" i="2"/>
  <c r="U27" i="2"/>
  <c r="S28" i="2"/>
  <c r="T28" i="2"/>
  <c r="U28" i="2"/>
  <c r="S29" i="2"/>
  <c r="T29" i="2"/>
  <c r="U29" i="2"/>
  <c r="S30" i="2"/>
  <c r="T30" i="2"/>
  <c r="U30" i="2"/>
  <c r="S31" i="2"/>
  <c r="T31" i="2"/>
  <c r="U31" i="2"/>
  <c r="S32" i="2"/>
  <c r="T32" i="2"/>
  <c r="U32" i="2"/>
  <c r="S33" i="2"/>
  <c r="T33" i="2"/>
  <c r="U33" i="2"/>
  <c r="S34" i="2"/>
  <c r="T34" i="2"/>
  <c r="U34" i="2"/>
  <c r="S35" i="2"/>
  <c r="T35" i="2"/>
  <c r="U35" i="2"/>
  <c r="S36" i="2"/>
  <c r="T36" i="2"/>
  <c r="U36" i="2"/>
  <c r="S37" i="2"/>
  <c r="T37" i="2"/>
  <c r="U37" i="2"/>
  <c r="S38" i="2"/>
  <c r="T38" i="2"/>
  <c r="U38" i="2"/>
  <c r="S39" i="2"/>
  <c r="T39" i="2"/>
  <c r="U39" i="2"/>
  <c r="S40" i="2"/>
  <c r="T40" i="2"/>
  <c r="U40" i="2"/>
  <c r="S41" i="2"/>
  <c r="T41" i="2"/>
  <c r="U41" i="2"/>
  <c r="S42" i="2"/>
  <c r="T42" i="2"/>
  <c r="U42" i="2"/>
  <c r="S43" i="2"/>
  <c r="T43" i="2"/>
  <c r="U43" i="2"/>
  <c r="S44" i="2"/>
  <c r="T44" i="2"/>
  <c r="U44" i="2"/>
  <c r="S45" i="2"/>
  <c r="T45" i="2"/>
  <c r="U45" i="2"/>
  <c r="S46" i="2"/>
  <c r="T46" i="2"/>
  <c r="U46" i="2"/>
  <c r="S47" i="2"/>
  <c r="T47" i="2"/>
  <c r="U47" i="2"/>
  <c r="S48" i="2"/>
  <c r="T48" i="2"/>
  <c r="U48" i="2"/>
  <c r="S49" i="2"/>
  <c r="T49" i="2"/>
  <c r="U49" i="2"/>
  <c r="S50" i="2"/>
  <c r="T50" i="2"/>
  <c r="U50" i="2"/>
  <c r="S52" i="2"/>
  <c r="T52" i="2"/>
  <c r="U52" i="2"/>
  <c r="S53" i="2"/>
  <c r="T53" i="2"/>
  <c r="U53" i="2"/>
  <c r="S54" i="2"/>
  <c r="T54" i="2"/>
  <c r="U54" i="2"/>
  <c r="S55" i="2"/>
  <c r="T55" i="2"/>
  <c r="U55" i="2"/>
  <c r="S56" i="2"/>
  <c r="T56" i="2"/>
  <c r="U56" i="2"/>
  <c r="S57" i="2"/>
  <c r="T57" i="2"/>
  <c r="U57" i="2"/>
  <c r="S58" i="2"/>
  <c r="T58" i="2"/>
  <c r="U58" i="2"/>
  <c r="S59" i="2"/>
  <c r="T59" i="2"/>
  <c r="U59" i="2"/>
  <c r="S60" i="2"/>
  <c r="T60" i="2"/>
  <c r="U60" i="2"/>
  <c r="S61" i="2"/>
  <c r="T61" i="2"/>
  <c r="U61" i="2"/>
  <c r="S62" i="2"/>
  <c r="T62" i="2"/>
  <c r="U62" i="2"/>
  <c r="S63" i="2"/>
  <c r="T63" i="2"/>
  <c r="U63" i="2"/>
  <c r="S64" i="2"/>
  <c r="T64" i="2"/>
  <c r="U64" i="2"/>
  <c r="S65" i="2"/>
  <c r="T65" i="2"/>
  <c r="U65" i="2"/>
  <c r="S66" i="2"/>
  <c r="T66" i="2"/>
  <c r="U66" i="2"/>
  <c r="S67" i="2"/>
  <c r="T67" i="2"/>
  <c r="U67" i="2"/>
  <c r="S68" i="2"/>
  <c r="T68" i="2"/>
  <c r="U68" i="2"/>
  <c r="S69" i="2"/>
  <c r="T69" i="2"/>
  <c r="U69" i="2"/>
  <c r="S70" i="2"/>
  <c r="T70" i="2"/>
  <c r="U70" i="2"/>
  <c r="S71" i="2"/>
  <c r="T71" i="2"/>
  <c r="U71" i="2"/>
  <c r="S72" i="2"/>
  <c r="T72" i="2"/>
  <c r="U72" i="2"/>
  <c r="S73" i="2"/>
  <c r="T73" i="2"/>
  <c r="U73" i="2"/>
  <c r="S74" i="2"/>
  <c r="T74" i="2"/>
  <c r="U74" i="2"/>
  <c r="S75" i="2"/>
  <c r="T75" i="2"/>
  <c r="U75" i="2"/>
  <c r="S76" i="2"/>
  <c r="T76" i="2"/>
  <c r="U76" i="2"/>
  <c r="S77" i="2"/>
  <c r="T77" i="2"/>
  <c r="U77" i="2"/>
  <c r="S78" i="2"/>
  <c r="T78" i="2"/>
  <c r="U78" i="2"/>
  <c r="S79" i="2"/>
  <c r="T79" i="2"/>
  <c r="U79" i="2"/>
  <c r="S80" i="2"/>
  <c r="T80" i="2"/>
  <c r="U80" i="2"/>
  <c r="S81" i="2"/>
  <c r="T81" i="2"/>
  <c r="U81" i="2"/>
  <c r="S82" i="2"/>
  <c r="T82" i="2"/>
  <c r="U82" i="2"/>
  <c r="S83" i="2"/>
  <c r="T83" i="2"/>
  <c r="U83" i="2"/>
  <c r="S84" i="2"/>
  <c r="T84" i="2"/>
  <c r="U84" i="2"/>
  <c r="S85" i="2"/>
  <c r="T85" i="2"/>
  <c r="U85" i="2"/>
  <c r="S86" i="2"/>
  <c r="T86" i="2"/>
  <c r="U86" i="2"/>
  <c r="S87" i="2"/>
  <c r="T87" i="2"/>
  <c r="U87" i="2"/>
  <c r="S88" i="2"/>
  <c r="T88" i="2"/>
  <c r="U88" i="2"/>
  <c r="S89" i="2"/>
  <c r="T89" i="2"/>
  <c r="U89" i="2"/>
  <c r="S90" i="2"/>
  <c r="T90" i="2"/>
  <c r="U90" i="2"/>
  <c r="S91" i="2"/>
  <c r="T91" i="2"/>
  <c r="U91" i="2"/>
  <c r="S92" i="2"/>
  <c r="T92" i="2"/>
  <c r="U92" i="2"/>
  <c r="S93" i="2"/>
  <c r="T93" i="2"/>
  <c r="U93" i="2"/>
  <c r="S94" i="2"/>
  <c r="T94" i="2"/>
  <c r="U94" i="2"/>
  <c r="S95" i="2"/>
  <c r="T95" i="2"/>
  <c r="U95" i="2"/>
  <c r="S96" i="2"/>
  <c r="T96" i="2"/>
  <c r="U96" i="2"/>
  <c r="S97" i="2"/>
  <c r="T97" i="2"/>
  <c r="U97" i="2"/>
  <c r="S98" i="2"/>
  <c r="T98" i="2"/>
  <c r="U98" i="2"/>
  <c r="S99" i="2"/>
  <c r="T99" i="2"/>
  <c r="U99" i="2"/>
  <c r="S100" i="2"/>
  <c r="T100" i="2"/>
  <c r="U100" i="2"/>
  <c r="S101" i="2"/>
  <c r="T101" i="2"/>
  <c r="U101" i="2"/>
  <c r="S102" i="2"/>
  <c r="T102" i="2"/>
  <c r="U102" i="2"/>
  <c r="S103" i="2"/>
  <c r="T103" i="2"/>
  <c r="U103"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C25" i="16"/>
  <c r="G13" i="16"/>
  <c r="G15" i="16"/>
  <c r="G21" i="16"/>
  <c r="S51" i="2"/>
  <c r="T51" i="2"/>
  <c r="U51" i="2"/>
  <c r="B25" i="3"/>
  <c r="A18" i="25"/>
  <c r="G19" i="16"/>
  <c r="A3" i="25"/>
  <c r="A22" i="25"/>
  <c r="A23" i="25"/>
  <c r="G16" i="16"/>
  <c r="G24" i="16"/>
  <c r="A5" i="25"/>
  <c r="A24" i="25"/>
  <c r="Y16" i="2"/>
  <c r="K14" i="2"/>
  <c r="I5" i="2"/>
  <c r="C22" i="16"/>
  <c r="G22" i="16"/>
  <c r="G5" i="2"/>
  <c r="C30" i="7"/>
  <c r="D30" i="7"/>
  <c r="D34" i="7"/>
  <c r="G9" i="2"/>
</calcChain>
</file>

<file path=xl/sharedStrings.xml><?xml version="1.0" encoding="utf-8"?>
<sst xmlns="http://schemas.openxmlformats.org/spreadsheetml/2006/main" count="681" uniqueCount="293">
  <si>
    <t>Parameters</t>
  </si>
  <si>
    <t>phi: dhours/dquasi</t>
  </si>
  <si>
    <t>beta: quasi as sh of FT hours</t>
  </si>
  <si>
    <t>avg hrs among FT</t>
  </si>
  <si>
    <t>uhrswork</t>
  </si>
  <si>
    <t>MARSUPWT</t>
  </si>
  <si>
    <t>avg commuting hours/wk</t>
  </si>
  <si>
    <t>ACA earnings tax rate</t>
  </si>
  <si>
    <t>hbar</t>
  </si>
  <si>
    <t>ACA cut for part-time</t>
  </si>
  <si>
    <t>cost(h0)</t>
  </si>
  <si>
    <t>ACA h</t>
  </si>
  <si>
    <t>ACA h impact</t>
  </si>
  <si>
    <t>BLS cut for part-time</t>
  </si>
  <si>
    <t>ACA FT</t>
  </si>
  <si>
    <t>pre-FT</t>
  </si>
  <si>
    <t>numbers with agg hours fixed</t>
  </si>
  <si>
    <t>avg hrs among PT</t>
  </si>
  <si>
    <t>BLS cut for part-time (hrs/wk)</t>
  </si>
  <si>
    <t>hourly premium for full-time work, logs</t>
  </si>
  <si>
    <t>see Hirsh paper esp. discussion of fringes</t>
  </si>
  <si>
    <t>Cumulative distributions</t>
  </si>
  <si>
    <t>workers</t>
  </si>
  <si>
    <t>aggregate hours</t>
  </si>
  <si>
    <t>Calibration data: pre-ACA</t>
  </si>
  <si>
    <t>Work hours per capita</t>
  </si>
  <si>
    <t>A: productivity</t>
  </si>
  <si>
    <t>eta: wage elasticity of aggregate hours</t>
  </si>
  <si>
    <t>pre-ACA</t>
  </si>
  <si>
    <t>ACA</t>
  </si>
  <si>
    <t>hours/emp</t>
  </si>
  <si>
    <t>agg hrs</t>
  </si>
  <si>
    <t>emp</t>
  </si>
  <si>
    <t>guess</t>
  </si>
  <si>
    <t>model</t>
  </si>
  <si>
    <t>gross output</t>
  </si>
  <si>
    <t>consumption</t>
  </si>
  <si>
    <t>bracket term</t>
  </si>
  <si>
    <t>sigma: elas of subs between tasks</t>
  </si>
  <si>
    <t>Employer penalty, converted to hrs/wk</t>
  </si>
  <si>
    <t>emp penalty</t>
  </si>
  <si>
    <t>measured in hours per hour</t>
  </si>
  <si>
    <t>$/hr</t>
  </si>
  <si>
    <t>cost(h)</t>
  </si>
  <si>
    <t>hrs/hr</t>
  </si>
  <si>
    <t>tol</t>
  </si>
  <si>
    <t>sq dev</t>
  </si>
  <si>
    <t>dln(hrs/emp)</t>
  </si>
  <si>
    <t>dln(emp)</t>
  </si>
  <si>
    <t>dln(hrs)</t>
  </si>
  <si>
    <t>fg</t>
  </si>
  <si>
    <t>f'g</t>
  </si>
  <si>
    <t>f''g</t>
  </si>
  <si>
    <t>hrs/wk</t>
  </si>
  <si>
    <t>Gross output per capita</t>
  </si>
  <si>
    <t>(no-ACA)    &lt;-- consumption --&gt;     (ACA)</t>
  </si>
  <si>
    <t>compontents of sums</t>
  </si>
  <si>
    <t>output</t>
  </si>
  <si>
    <t>consumption from</t>
  </si>
  <si>
    <t>resource</t>
  </si>
  <si>
    <t>ACA impact</t>
  </si>
  <si>
    <t>avg wage</t>
  </si>
  <si>
    <t>marg wage</t>
  </si>
  <si>
    <t>hr earn</t>
  </si>
  <si>
    <t>wg elas</t>
  </si>
  <si>
    <t>wage elas of labor supply</t>
  </si>
  <si>
    <t>cum emp sh</t>
  </si>
  <si>
    <t>ACA earnings tax rate adder</t>
  </si>
  <si>
    <t>pre-ACA earnings tax rate</t>
  </si>
  <si>
    <t>gamma*c</t>
  </si>
  <si>
    <t>interior sol'ns</t>
  </si>
  <si>
    <t>h_nopen</t>
  </si>
  <si>
    <t>h_pen</t>
  </si>
  <si>
    <t>cost(h_pen)</t>
  </si>
  <si>
    <t>h_nopen&lt;=h0</t>
  </si>
  <si>
    <t>Other Parameters</t>
  </si>
  <si>
    <t>Personal tax rate</t>
  </si>
  <si>
    <t>Penalty amount</t>
  </si>
  <si>
    <t>hours equivalent</t>
  </si>
  <si>
    <t>Subsidy valuation factor</t>
  </si>
  <si>
    <t>Subsidy amount forgone by ESI workers</t>
  </si>
  <si>
    <t>weeks not worked</t>
  </si>
  <si>
    <t>Weights</t>
  </si>
  <si>
    <t>Notes on weights</t>
  </si>
  <si>
    <t>Zero-rate group</t>
  </si>
  <si>
    <t>Penalty, no subsidy</t>
  </si>
  <si>
    <t>remainder of penalty group</t>
  </si>
  <si>
    <t>Subsidy slide, no penalty</t>
  </si>
  <si>
    <t>Subsidy slide, penalty</t>
  </si>
  <si>
    <t>Without ESI spouse</t>
  </si>
  <si>
    <t>Penalty hours</t>
  </si>
  <si>
    <t>Earnings ACA MTR</t>
  </si>
  <si>
    <t>groupno</t>
  </si>
  <si>
    <t>ACA regulatory parameters</t>
  </si>
  <si>
    <t>Tastes &amp; Technology</t>
  </si>
  <si>
    <t>Find gross output fixed points</t>
  </si>
  <si>
    <t>Entire economy</t>
  </si>
  <si>
    <t>rounded hrs</t>
  </si>
  <si>
    <t>no-ACA CDF</t>
  </si>
  <si>
    <t>ACA CDF</t>
  </si>
  <si>
    <t>Hours CDFs</t>
  </si>
  <si>
    <t>Outcome</t>
  </si>
  <si>
    <t>Log Employment per capita</t>
  </si>
  <si>
    <t>Log Aggregate hours</t>
  </si>
  <si>
    <t>Log Consumption</t>
  </si>
  <si>
    <t>ACA Impacts</t>
  </si>
  <si>
    <t>Aggregate labor market outcomes</t>
  </si>
  <si>
    <t>no-ACA values</t>
  </si>
  <si>
    <t>Aggregate hours per capita</t>
  </si>
  <si>
    <t>ACA values</t>
  </si>
  <si>
    <t>Employment per capita</t>
  </si>
  <si>
    <t>Hours per employee</t>
  </si>
  <si>
    <t>Log hours per employee</t>
  </si>
  <si>
    <t>Log Gross output per capita</t>
  </si>
  <si>
    <t>Find consumption fixed points</t>
  </si>
  <si>
    <t>agg cost, $/hr</t>
  </si>
  <si>
    <t>social</t>
  </si>
  <si>
    <t>pvt</t>
  </si>
  <si>
    <t>Log labor productivity</t>
  </si>
  <si>
    <t>fem sh of cell</t>
  </si>
  <si>
    <t>cum femp sh</t>
  </si>
  <si>
    <t>Female labor market outcomes</t>
  </si>
  <si>
    <t>Female share of employment</t>
  </si>
  <si>
    <t>Work hours per female employee</t>
  </si>
  <si>
    <t>Table 1.  Five ACA-incentive scenarios</t>
  </si>
  <si>
    <t>Marginal earnings tax rate</t>
  </si>
  <si>
    <t>Scenario</t>
  </si>
  <si>
    <t>Frequency</t>
  </si>
  <si>
    <t>No new incentives</t>
  </si>
  <si>
    <t>Employer penalized, but employee not receiving exchange subsidies</t>
  </si>
  <si>
    <t>Earnings tax rate</t>
  </si>
  <si>
    <t>Sliding scale mtr (% of comp)</t>
  </si>
  <si>
    <t>ACA adder</t>
  </si>
  <si>
    <t>[(weeks worked by FT ESI workers without an ESI spouse) + (weeks worked by PT non-ESI workers without ESI spouse but likely to have ESI in a FT position)]/(aggregate weeks among non-poor non-elderly hds &amp; spouses)</t>
  </si>
  <si>
    <t>wkswt</t>
  </si>
  <si>
    <t>two-thirds of the sliding scale group</t>
  </si>
  <si>
    <t>one-third of the sliding scale group</t>
  </si>
  <si>
    <t>Frequency-weighted average</t>
  </si>
  <si>
    <t>Table 2.  Scalar non-tax parameter values</t>
  </si>
  <si>
    <r>
      <t xml:space="preserve">productivity, </t>
    </r>
    <r>
      <rPr>
        <i/>
        <sz val="12"/>
        <color theme="1"/>
        <rFont val="Times New Roman"/>
        <family val="1"/>
        <scheme val="minor"/>
      </rPr>
      <t>A</t>
    </r>
  </si>
  <si>
    <t>parameter</t>
  </si>
  <si>
    <t>comments</t>
  </si>
  <si>
    <t>Sources:</t>
  </si>
  <si>
    <t>2012 CPS Annual Demographic file</t>
  </si>
  <si>
    <t>2000 Census PUMS</t>
  </si>
  <si>
    <t>benchmark value</t>
  </si>
  <si>
    <t>alternate values</t>
  </si>
  <si>
    <r>
      <t xml:space="preserve">work disutility parameter, </t>
    </r>
    <r>
      <rPr>
        <i/>
        <sz val="12"/>
        <color theme="1"/>
        <rFont val="Symbol"/>
        <family val="1"/>
        <charset val="2"/>
      </rPr>
      <t>h</t>
    </r>
  </si>
  <si>
    <t>approximately equal to the Frisch wage elasticity of aggregate hours supply</t>
  </si>
  <si>
    <r>
      <t xml:space="preserve">substitution elasticity in production, </t>
    </r>
    <r>
      <rPr>
        <i/>
        <sz val="12"/>
        <color theme="1"/>
        <rFont val="Symbol"/>
        <family val="1"/>
        <charset val="2"/>
      </rPr>
      <t>s</t>
    </r>
  </si>
  <si>
    <t>between worker types</t>
  </si>
  <si>
    <t>Montgomery and Cosgrove (1993)</t>
  </si>
  <si>
    <t>Owen (1979)</t>
  </si>
  <si>
    <t>Hirsch (2005)</t>
  </si>
  <si>
    <r>
      <t xml:space="preserve">household-paid quasi-fixed cost, </t>
    </r>
    <r>
      <rPr>
        <i/>
        <sz val="12"/>
        <color theme="1"/>
        <rFont val="Times New Roman"/>
        <family val="1"/>
        <scheme val="minor"/>
      </rPr>
      <t>a</t>
    </r>
  </si>
  <si>
    <t>half and double</t>
  </si>
  <si>
    <r>
      <t xml:space="preserve">employer-paid quasi-fixed cost, </t>
    </r>
    <r>
      <rPr>
        <i/>
        <sz val="12"/>
        <color theme="1"/>
        <rFont val="Times New Roman"/>
        <family val="1"/>
        <scheme val="minor"/>
      </rPr>
      <t>b</t>
    </r>
  </si>
  <si>
    <t>non-ACA gross output</t>
  </si>
  <si>
    <t>a normalization</t>
  </si>
  <si>
    <t>non-ACA employment per capita</t>
  </si>
  <si>
    <t>larger values of phi mean less convex costs/more weekly hours sensitivity</t>
  </si>
  <si>
    <r>
      <t xml:space="preserve">parameter of cost of desired hours deviations, </t>
    </r>
    <r>
      <rPr>
        <i/>
        <sz val="12"/>
        <color theme="1"/>
        <rFont val="Symbol"/>
        <family val="1"/>
        <charset val="2"/>
      </rPr>
      <t>f</t>
    </r>
  </si>
  <si>
    <t>0.15, 0.35</t>
  </si>
  <si>
    <r>
      <t xml:space="preserve">Worker at ESI employer without access to    </t>
    </r>
    <r>
      <rPr>
        <u/>
        <sz val="12"/>
        <color theme="1"/>
        <rFont val="Times New Roman"/>
        <family val="1"/>
        <scheme val="minor"/>
      </rPr>
      <t>part-time own ESI or coverage through spouse</t>
    </r>
  </si>
  <si>
    <t>Employee receiving exchange subsidies,</t>
  </si>
  <si>
    <t>but employer not penalized</t>
  </si>
  <si>
    <t>and employer penalized</t>
  </si>
  <si>
    <t>penalty</t>
  </si>
  <si>
    <t>f0</t>
  </si>
  <si>
    <t>f2</t>
  </si>
  <si>
    <t>f1</t>
  </si>
  <si>
    <t>critical h</t>
  </si>
  <si>
    <t>Critical no-ACA hours as a function of tax parameters</t>
  </si>
  <si>
    <t>ACA h guess</t>
  </si>
  <si>
    <t>Penalty, but no subsidy</t>
  </si>
  <si>
    <t>Penalty and subsidy</t>
  </si>
  <si>
    <t>Tax scenario to be charted</t>
  </si>
  <si>
    <t>Tax scenario description</t>
  </si>
  <si>
    <t>Group-specific scenario weights</t>
  </si>
  <si>
    <t>all</t>
  </si>
  <si>
    <t>men</t>
  </si>
  <si>
    <t>women</t>
  </si>
  <si>
    <t>unmarried household heads</t>
  </si>
  <si>
    <t>household heads</t>
  </si>
  <si>
    <t>married household heads</t>
  </si>
  <si>
    <t>non-poor, non-elderly</t>
  </si>
  <si>
    <t>elderly</t>
  </si>
  <si>
    <t>elderly excludes elderly persons with non-elderly spouse or dependent</t>
  </si>
  <si>
    <t>non-elderly non-poor</t>
  </si>
  <si>
    <t>female</t>
  </si>
  <si>
    <t>unmarried HH head</t>
  </si>
  <si>
    <t>shares of total wkswt</t>
  </si>
  <si>
    <t>married HH head or spouse</t>
  </si>
  <si>
    <t>share of aggregate hours w/o ACA</t>
  </si>
  <si>
    <t>Calendar year 2016.  Includes both implicit and explicit taxes</t>
  </si>
  <si>
    <t>Frisch wage elasticity of agg. hours</t>
  </si>
  <si>
    <t>for the median worker type</t>
  </si>
  <si>
    <t>equals 1 with eta = 0.88</t>
  </si>
  <si>
    <r>
      <t>Weekly penalty on full-</t>
    </r>
    <r>
      <rPr>
        <u/>
        <sz val="12"/>
        <color theme="1"/>
        <rFont val="Times New Roman"/>
        <family val="1"/>
        <scheme val="minor"/>
      </rPr>
      <t>time work (hours equiv.)</t>
    </r>
  </si>
  <si>
    <t>0, 0.88</t>
  </si>
  <si>
    <t>ACA Tax Parameters for the Quasi-fixed Cost Model</t>
  </si>
  <si>
    <t>Table 7.  Tax-scenario weights by demographic group</t>
  </si>
  <si>
    <r>
      <rPr>
        <u/>
        <sz val="12"/>
        <color theme="1"/>
        <rFont val="Times New Roman"/>
        <family val="1"/>
        <scheme val="minor"/>
      </rPr>
      <t>Tax s</t>
    </r>
    <r>
      <rPr>
        <u/>
        <sz val="12"/>
        <color theme="1"/>
        <rFont val="Times New Roman"/>
        <family val="1"/>
        <scheme val="minor"/>
      </rPr>
      <t>cenario</t>
    </r>
  </si>
  <si>
    <t>Total</t>
  </si>
  <si>
    <t>Men</t>
  </si>
  <si>
    <t>Women</t>
  </si>
  <si>
    <t>Household heads &amp; spouses</t>
  </si>
  <si>
    <t>Elderly</t>
  </si>
  <si>
    <t>Unmarried</t>
  </si>
  <si>
    <t>Married</t>
  </si>
  <si>
    <r>
      <rPr>
        <sz val="12"/>
        <color theme="1"/>
        <rFont val="Times New Roman"/>
        <family val="2"/>
        <scheme val="minor"/>
      </rPr>
      <t>Full</t>
    </r>
    <r>
      <rPr>
        <u/>
        <sz val="12"/>
        <color theme="1"/>
        <rFont val="Times New Roman"/>
        <family val="1"/>
        <scheme val="minor"/>
      </rPr>
      <t xml:space="preserve"> population</t>
    </r>
  </si>
  <si>
    <r>
      <rPr>
        <u/>
        <sz val="12"/>
        <color theme="1"/>
        <rFont val="Times New Roman"/>
        <family val="1"/>
        <scheme val="minor"/>
      </rPr>
      <t>Notes</t>
    </r>
    <r>
      <rPr>
        <sz val="12"/>
        <color theme="1"/>
        <rFont val="Times New Roman"/>
        <family val="2"/>
        <scheme val="minor"/>
      </rPr>
      <t>: The marginal earnings tax rate includes pre-ACA payroll and personal income taxes at a 25% rate.  "Receiving exchange subsidies" refers to heads or spouses of households receiving subsidies; dependents in such households are considered "not receiving" for the purpose of determining incentives.</t>
    </r>
  </si>
  <si>
    <r>
      <rPr>
        <u/>
        <sz val="12"/>
        <color theme="1"/>
        <rFont val="Times New Roman"/>
        <family val="1"/>
        <scheme val="minor"/>
      </rPr>
      <t>Notes</t>
    </r>
    <r>
      <rPr>
        <sz val="12"/>
        <color theme="1"/>
        <rFont val="Times New Roman"/>
        <family val="2"/>
        <scheme val="minor"/>
      </rPr>
      <t>: "Receiving exchange subsidies" refers to heads or spouses of households receiving subsidies; dependents in such households are considered "not receiving" for the purpose of determining incentives.  Household head and spouse categories excluded poor and elderly workers.</t>
    </r>
  </si>
  <si>
    <t>less and greater</t>
  </si>
  <si>
    <t>lesser and greater values correspond to half and double the full-time hourly wage premium, respectively</t>
  </si>
  <si>
    <t>Hours per employee, VW</t>
  </si>
  <si>
    <t>Simulation steps IN ORDER</t>
  </si>
  <si>
    <t>tab</t>
  </si>
  <si>
    <t>description</t>
  </si>
  <si>
    <t>This file has model simulation backup for the NBER working paper:</t>
  </si>
  <si>
    <t>The Economics of Work Schedules under the New Hours and Employment Taxes</t>
  </si>
  <si>
    <t>by Casey B. Mulligan</t>
  </si>
  <si>
    <t>This file simulates four model equilibria, one for each tax scenario.  The scenario-specific hours distributions are averaged to get an "entire economy" hours distribution.</t>
  </si>
  <si>
    <r>
      <t>Input model parameters</t>
    </r>
    <r>
      <rPr>
        <sz val="12"/>
        <color theme="1"/>
        <rFont val="Times New Roman"/>
        <family val="2"/>
        <scheme val="minor"/>
      </rPr>
      <t xml:space="preserve"> on the ParametersTax and ParametersOther tabs</t>
    </r>
  </si>
  <si>
    <r>
      <t xml:space="preserve">Use </t>
    </r>
    <r>
      <rPr>
        <sz val="12"/>
        <color theme="1"/>
        <rFont val="Times New Roman"/>
        <family val="2"/>
        <scheme val="minor"/>
      </rPr>
      <t>ParametersTax</t>
    </r>
    <r>
      <rPr>
        <sz val="12"/>
        <color theme="1"/>
        <rFont val="Times New Roman"/>
        <family val="2"/>
        <scheme val="minor"/>
      </rPr>
      <t xml:space="preserve"> tab to make sure equilibrium conditions are satisfied</t>
    </r>
    <r>
      <rPr>
        <sz val="12"/>
        <color theme="1"/>
        <rFont val="Times New Roman"/>
        <family val="2"/>
        <scheme val="minor"/>
      </rPr>
      <t>.</t>
    </r>
  </si>
  <si>
    <t>ParametersTax</t>
  </si>
  <si>
    <t>ParametersOther</t>
  </si>
  <si>
    <t>Other model parameters are input here</t>
  </si>
  <si>
    <t>Model tax parameters are input here.  Use Excel SOLVER on this tab to minimize deviations from the equilibrium conditions.</t>
  </si>
  <si>
    <t>Table1</t>
  </si>
  <si>
    <t>Table2</t>
  </si>
  <si>
    <t>AggStats</t>
  </si>
  <si>
    <t>FemaleStats</t>
  </si>
  <si>
    <t>Table7</t>
  </si>
  <si>
    <t>ChartCriticalh</t>
  </si>
  <si>
    <t>criticalhours</t>
  </si>
  <si>
    <t>HoursCDFs</t>
  </si>
  <si>
    <t>Charthourshist</t>
  </si>
  <si>
    <t>hours (1)</t>
  </si>
  <si>
    <t>Sectors (1)</t>
  </si>
  <si>
    <t>calculation of equilibrium employment rates, tax scenario 1</t>
  </si>
  <si>
    <t>hours (4)</t>
  </si>
  <si>
    <t>Sectors (4)</t>
  </si>
  <si>
    <t>hours (3)</t>
  </si>
  <si>
    <t>Sectors (3)</t>
  </si>
  <si>
    <t>hours (2)</t>
  </si>
  <si>
    <t>Sectors (2)</t>
  </si>
  <si>
    <t>calculation of equilibrium hours per employee, tax scenario 2</t>
  </si>
  <si>
    <t>calculation of equilibrium employment rates, tax scenario 2</t>
  </si>
  <si>
    <t>calculation of equilibrium hours per employee, tax scenario 3</t>
  </si>
  <si>
    <t>calculation of equilibrium employment rates, tax scenario 3</t>
  </si>
  <si>
    <t>calculation of equilibrium hours per employee, tax scenario 4</t>
  </si>
  <si>
    <t>calculation of equilibrium employment rates, tax scenario 4</t>
  </si>
  <si>
    <t>hrsbygroup</t>
  </si>
  <si>
    <t>Figure 5</t>
  </si>
  <si>
    <t>Five ACA-incentive scenarios</t>
  </si>
  <si>
    <t>Scalar non-tax parameter values</t>
  </si>
  <si>
    <t>Weekly hours of the marginal "29er" but for the ACA</t>
  </si>
  <si>
    <t>Tax-scenario weights by demographic group</t>
  </si>
  <si>
    <t>data for chart</t>
  </si>
  <si>
    <t>Hours CDF</t>
  </si>
  <si>
    <t>Also use this tab to toggle the tax scenario that is displayed in Charthourshist</t>
  </si>
  <si>
    <t>textbackup</t>
  </si>
  <si>
    <t>backup for statistics cited in the prose of the paper</t>
  </si>
  <si>
    <t>calculation of equilibrium hours per employee, tax scenario 1.  Use this tab to input the no-ACA hours distribution data.</t>
  </si>
  <si>
    <t>Unmarried household heads will have log weekly employment rates depressed at about twice as much as the average.</t>
  </si>
  <si>
    <t>the salary equivalent of a $2,000 employer penalty (adjusted for health cost inflation) is $3,144 per year on the full-time payroll</t>
  </si>
  <si>
    <t>$3,144 annual penalty (about $60 per week)</t>
  </si>
  <si>
    <t>Appendix I shows that the 2012 median household head or spouse working 40 hours per week without ESI, and with positive earnings, and satisfying the exchange subsidy age and income eligibility criteria, has hourly wages and salaries that are about $14.</t>
  </si>
  <si>
    <t>Weighted by weeks worked, less than one percent of the CPS sample has usually weekly work hours less than 8.  Among the remaining sample, 25 percent report usual weekly work hours less than 40 and 52 percent report exactly 40.</t>
  </si>
  <si>
    <r>
      <t xml:space="preserve">Specifically, with </t>
    </r>
    <r>
      <rPr>
        <i/>
        <sz val="12"/>
        <color theme="1"/>
        <rFont val="Symbol"/>
        <family val="1"/>
        <charset val="2"/>
      </rPr>
      <t>h</t>
    </r>
    <r>
      <rPr>
        <sz val="12"/>
        <color theme="1"/>
        <rFont val="Times New Roman"/>
        <family val="2"/>
        <scheme val="minor"/>
      </rPr>
      <t xml:space="preserve"> = 0.5 and the other parameters set at their benchmark values, a consumption-constant increase in the productivity parameter </t>
    </r>
    <r>
      <rPr>
        <i/>
        <sz val="12"/>
        <color theme="1"/>
        <rFont val="Times New Roman"/>
        <family val="1"/>
        <scheme val="minor"/>
      </rPr>
      <t>A</t>
    </r>
    <r>
      <rPr>
        <sz val="12"/>
        <color theme="1"/>
        <rFont val="Times New Roman"/>
        <family val="2"/>
        <scheme val="minor"/>
      </rPr>
      <t xml:space="preserve"> of the right amount to increase log average hourly earnings by 0.01 would increase log aggregate hours supplied by the median worker type (in terms of desired worker hours, i.e., the large group of people working exactly 40 hours but for the ACA) by 0.0057.</t>
    </r>
  </si>
  <si>
    <r>
      <t xml:space="preserve">The parameter </t>
    </r>
    <r>
      <rPr>
        <i/>
        <sz val="12"/>
        <color theme="1"/>
        <rFont val="Times New Roman"/>
        <family val="1"/>
        <scheme val="minor"/>
      </rPr>
      <t>a</t>
    </r>
    <r>
      <rPr>
        <sz val="12"/>
        <color theme="1"/>
        <rFont val="Times New Roman"/>
        <family val="2"/>
        <scheme val="minor"/>
      </rPr>
      <t>, which denotes the common quasi-fixed costs paid by households, is set equal to 4.14*</t>
    </r>
    <r>
      <rPr>
        <i/>
        <sz val="12"/>
        <color theme="1"/>
        <rFont val="Times New Roman"/>
        <family val="1"/>
        <scheme val="minor"/>
      </rPr>
      <t>A</t>
    </r>
    <r>
      <rPr>
        <sz val="12"/>
        <color theme="1"/>
        <rFont val="Times New Roman"/>
        <family val="2"/>
        <scheme val="minor"/>
      </rPr>
      <t xml:space="preserve"> </t>
    </r>
  </si>
  <si>
    <t xml:space="preserve">average weekly hours fall more than one percent.  Employment rates fall less than one percent. </t>
  </si>
  <si>
    <t>row (8) suggests that the employer penalty is responsible for more than half of the 29ers but less than half of the employment and hours reductions.</t>
  </si>
  <si>
    <t>Women will be about twice as likely as men to have their weekly work hours pushed below 30 by the ACA.</t>
  </si>
  <si>
    <t>[see also table 4]</t>
  </si>
  <si>
    <t>[from Table 4]</t>
  </si>
  <si>
    <t>[see Table 4, row 5]</t>
  </si>
  <si>
    <t>[bottom of Table 3]</t>
  </si>
  <si>
    <t>Backup for statistics cited in the prose of the paper</t>
  </si>
  <si>
    <r>
      <t xml:space="preserve">the benchmark value of </t>
    </r>
    <r>
      <rPr>
        <i/>
        <sz val="12"/>
        <color theme="1"/>
        <rFont val="Times New Roman"/>
        <family val="1"/>
        <scheme val="minor"/>
      </rPr>
      <t>b</t>
    </r>
    <r>
      <rPr>
        <sz val="12"/>
        <color theme="1"/>
        <rFont val="Times New Roman"/>
        <family val="2"/>
        <scheme val="minor"/>
      </rPr>
      <t xml:space="preserve"> is 0.09*(</t>
    </r>
    <r>
      <rPr>
        <i/>
        <sz val="12"/>
        <color theme="1"/>
        <rFont val="Times New Roman"/>
        <family val="1"/>
        <scheme val="minor"/>
      </rPr>
      <t>Ah</t>
    </r>
    <r>
      <rPr>
        <i/>
        <vertAlign val="subscript"/>
        <sz val="12"/>
        <color theme="1"/>
        <rFont val="Times New Roman"/>
        <family val="1"/>
        <scheme val="minor"/>
      </rPr>
      <t>f</t>
    </r>
    <r>
      <rPr>
        <sz val="12"/>
        <color theme="1"/>
        <rFont val="Times New Roman"/>
        <family val="2"/>
        <scheme val="minor"/>
      </rPr>
      <t>) = 4.11*</t>
    </r>
    <r>
      <rPr>
        <i/>
        <sz val="12"/>
        <color theme="1"/>
        <rFont val="Times New Roman"/>
        <family val="1"/>
        <scheme val="minor"/>
      </rPr>
      <t>A</t>
    </r>
  </si>
  <si>
    <t>updated March 2014</t>
  </si>
  <si>
    <t>My estimates suggest that about 4 percent of the workforce will work less than the legislated 30-hour threshold solely to avoid the implicit and explicit full-time employment taxes.</t>
  </si>
  <si>
    <t>About a third of the employment effects and about half of the work schedule effects come from the ACA’s employer penalties while the rest come from the law’s various implicit taxes.</t>
  </si>
  <si>
    <t>A conservative estimate of the law’s average employment rate impact is negative three percent.</t>
  </si>
  <si>
    <t>[from Table 3]</t>
  </si>
  <si>
    <t>which I take to be 0.034 based on the average fraction of the year that ESI workers (without access to ESI through a spouse)</t>
  </si>
  <si>
    <t>the frequencies of the second and fourth scenarios must sum to 26 percent</t>
  </si>
  <si>
    <t>According to the benchmark model, the ACA reduces both employment and aggregate hours by about three percent.</t>
  </si>
  <si>
    <t>4.5 percentage points more of the workforce will work 26-29 hours</t>
  </si>
  <si>
    <t>However, with a 34-hour threshold 13.2 percent of the workforce changes their work schedule from 34-plus hours to less than 34 hours</t>
  </si>
  <si>
    <t>On average, the ACA provisions considered in this paper will create a combined quasi-fixed cost of full-time employment of about 2.1 hours per week and, in addition, increase the average marginal earnings tax rate by 1.4 percentage points.</t>
  </si>
  <si>
    <t>Unmarried household heads may reduce their employment rates by five percent.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</si>
</sst>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
    <numFmt numFmtId="165" formatCode="0.0"/>
    <numFmt numFmtId="166" formatCode="0.0000000"/>
    <numFmt numFmtId="167" formatCode="0.00000"/>
    <numFmt numFmtId="168" formatCode="0.0E+00"/>
    <numFmt numFmtId="169" formatCode="0.0%"/>
    <numFmt numFmtId="170" formatCode="0.0000"/>
    <numFmt numFmtId="171" formatCode="0.000E+00;\_x0000_"/>
    <numFmt numFmtId="172" formatCode="&quot;$&quot;#,##0"/>
    <numFmt numFmtId="173" formatCode="#,##0.0"/>
  </numFmts>
  <fonts count="29" x14ac:knownFonts="1">
    <font>
      <sz val="12"/>
      <color theme="1"/>
      <name val="Times New Roman"/>
      <family val="2"/>
      <scheme val="minor"/>
    </font>
    <font>
      <sz val="12"/>
      <color theme="1"/>
      <name val="Times New Roman"/>
      <family val="2"/>
      <scheme val="minor"/>
    </font>
    <font>
      <sz val="12"/>
      <color rgb="FF3F3F76"/>
      <name val="Times New Roman"/>
      <family val="2"/>
      <scheme val="minor"/>
    </font>
    <font>
      <b/>
      <sz val="12"/>
      <color theme="1"/>
      <name val="Times New Roman"/>
      <family val="2"/>
      <scheme val="minor"/>
    </font>
    <font>
      <u/>
      <sz val="12"/>
      <color theme="10"/>
      <name val="Times New Roman"/>
      <family val="2"/>
      <scheme val="minor"/>
    </font>
    <font>
      <u/>
      <sz val="12"/>
      <color theme="11"/>
      <name val="Times New Roman"/>
      <family val="2"/>
      <scheme val="minor"/>
    </font>
    <font>
      <u/>
      <sz val="12"/>
      <color theme="1"/>
      <name val="Times New Roman"/>
      <family val="1"/>
      <scheme val="minor"/>
    </font>
    <font>
      <u/>
      <sz val="11"/>
      <color theme="1"/>
      <name val="Times New Roman"/>
      <family val="2"/>
      <scheme val="minor"/>
    </font>
    <font>
      <b/>
      <sz val="12"/>
      <color rgb="FF3F3F3F"/>
      <name val="Times New Roman"/>
      <family val="2"/>
      <scheme val="minor"/>
    </font>
    <font>
      <sz val="12"/>
      <color rgb="FF0000FF"/>
      <name val="Times New Roman"/>
      <family val="1"/>
      <scheme val="minor"/>
    </font>
    <font>
      <sz val="12"/>
      <color rgb="FF008000"/>
      <name val="Times New Roman"/>
      <family val="1"/>
      <scheme val="minor"/>
    </font>
    <font>
      <u/>
      <sz val="12"/>
      <color rgb="FF008000"/>
      <name val="Times New Roman"/>
      <family val="1"/>
      <scheme val="minor"/>
    </font>
    <font>
      <sz val="12"/>
      <color rgb="FF800080"/>
      <name val="Times New Roman"/>
      <family val="1"/>
      <scheme val="minor"/>
    </font>
    <font>
      <sz val="12"/>
      <name val="Times New Roman"/>
      <family val="1"/>
      <scheme val="minor"/>
    </font>
    <font>
      <u/>
      <sz val="12"/>
      <name val="Times New Roman"/>
      <family val="1"/>
      <scheme val="minor"/>
    </font>
    <font>
      <sz val="12"/>
      <color rgb="FF3F3F3F"/>
      <name val="Times New Roman"/>
      <family val="1"/>
      <scheme val="minor"/>
    </font>
    <font>
      <i/>
      <sz val="12"/>
      <color theme="1"/>
      <name val="Times New Roman"/>
      <family val="1"/>
      <scheme val="minor"/>
    </font>
    <font>
      <b/>
      <sz val="12"/>
      <color rgb="FFFF0000"/>
      <name val="Times New Roman"/>
      <family val="1"/>
      <scheme val="minor"/>
    </font>
    <font>
      <sz val="12"/>
      <color theme="1"/>
      <name val="Times New Roman"/>
      <family val="2"/>
      <scheme val="minor"/>
    </font>
    <font>
      <b/>
      <sz val="12"/>
      <color theme="1"/>
      <name val="Times New Roman"/>
      <family val="1"/>
      <scheme val="minor"/>
    </font>
    <font>
      <u/>
      <sz val="12"/>
      <color theme="1"/>
      <name val="Times New Roman"/>
      <family val="2"/>
      <scheme val="minor"/>
    </font>
    <font>
      <b/>
      <sz val="14"/>
      <color theme="1"/>
      <name val="Times New Roman"/>
      <family val="1"/>
      <scheme val="minor"/>
    </font>
    <font>
      <sz val="12"/>
      <color rgb="FF000000"/>
      <name val="Times New Roman"/>
      <family val="2"/>
      <scheme val="minor"/>
    </font>
    <font>
      <i/>
      <sz val="12"/>
      <color theme="1"/>
      <name val="Symbol"/>
      <family val="1"/>
      <charset val="2"/>
    </font>
    <font>
      <sz val="12"/>
      <color theme="1"/>
      <name val="Times New Roman"/>
      <family val="1"/>
      <scheme val="minor"/>
    </font>
    <font>
      <sz val="11"/>
      <color theme="1"/>
      <name val="Times New Roman"/>
      <family val="2"/>
      <scheme val="minor"/>
    </font>
    <font>
      <sz val="11"/>
      <color rgb="FF000000"/>
      <name val="Times New Roman"/>
      <family val="2"/>
      <scheme val="minor"/>
    </font>
    <font>
      <i/>
      <vertAlign val="subscript"/>
      <sz val="12"/>
      <color theme="1"/>
      <name val="Times New Roman"/>
      <family val="1"/>
      <scheme val="minor"/>
    </font>
    <font>
      <b/>
      <sz val="11"/>
      <color theme="1"/>
      <name val="Times New Roman"/>
      <family val="1"/>
      <scheme val="minor"/>
    </font>
  </fonts>
  <fills count="4">
    <fill>
      <patternFill patternType="none"/>
    </fill>
    <fill>
      <patternFill patternType="gray125"/>
    </fill>
    <fill>
      <patternFill patternType="solid">
        <fgColor rgb="FFFFCC99"/>
      </patternFill>
    </fill>
    <fill>
      <patternFill patternType="solid">
        <fgColor rgb="FFF2F2F2"/>
      </patternFill>
    </fill>
  </fills>
  <borders count="4">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7F7F7F"/>
      </left>
      <right/>
      <top/>
      <bottom/>
      <diagonal/>
    </border>
  </borders>
  <cellStyleXfs count="1067">
    <xf numFmtId="0" fontId="0" fillId="0" borderId="0"/>
    <xf numFmtId="0" fontId="2" fillId="2"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8" fillId="3" borderId="2"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18"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5"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06">
    <xf numFmtId="0" fontId="0" fillId="0" borderId="0" xfId="0"/>
    <xf numFmtId="0" fontId="6" fillId="0" borderId="0" xfId="0" applyFont="1"/>
    <xf numFmtId="0" fontId="2" fillId="2" borderId="1" xfId="1"/>
    <xf numFmtId="3" fontId="0" fillId="0" borderId="0" xfId="0" applyNumberFormat="1"/>
    <xf numFmtId="165" fontId="2" fillId="2" borderId="1" xfId="1" applyNumberFormat="1"/>
    <xf numFmtId="0" fontId="3" fillId="0" borderId="0" xfId="0" applyFont="1"/>
    <xf numFmtId="164" fontId="0" fillId="0" borderId="0" xfId="0" applyNumberFormat="1"/>
    <xf numFmtId="165" fontId="0" fillId="0" borderId="0" xfId="0" applyNumberFormat="1"/>
    <xf numFmtId="9" fontId="2" fillId="2" borderId="1" xfId="1" applyNumberFormat="1"/>
    <xf numFmtId="2" fontId="0" fillId="0" borderId="0" xfId="0" applyNumberFormat="1"/>
    <xf numFmtId="0" fontId="6" fillId="0" borderId="0" xfId="0" applyFont="1" applyAlignment="1">
      <alignment horizontal="right"/>
    </xf>
    <xf numFmtId="0" fontId="6" fillId="0" borderId="0" xfId="0" applyFont="1" applyAlignment="1">
      <alignment horizontal="left"/>
    </xf>
    <xf numFmtId="0" fontId="7" fillId="0" borderId="0" xfId="0" applyFont="1" applyAlignment="1">
      <alignment horizontal="right"/>
    </xf>
    <xf numFmtId="2" fontId="2" fillId="2" borderId="1" xfId="1" applyNumberFormat="1"/>
    <xf numFmtId="9" fontId="0" fillId="0" borderId="0" xfId="0" applyNumberFormat="1"/>
    <xf numFmtId="0" fontId="2" fillId="2" borderId="1" xfId="1" applyNumberFormat="1"/>
    <xf numFmtId="166" fontId="0" fillId="0" borderId="0" xfId="0" applyNumberFormat="1"/>
    <xf numFmtId="0" fontId="0" fillId="0" borderId="0" xfId="0" quotePrefix="1" applyAlignment="1">
      <alignment horizontal="right"/>
    </xf>
    <xf numFmtId="2" fontId="0" fillId="0" borderId="0" xfId="0" applyNumberFormat="1" applyAlignment="1">
      <alignment horizontal="right"/>
    </xf>
    <xf numFmtId="0" fontId="0" fillId="0" borderId="0" xfId="0" applyNumberFormat="1" applyAlignment="1">
      <alignment horizontal="right"/>
    </xf>
    <xf numFmtId="0" fontId="2" fillId="2" borderId="1" xfId="1" quotePrefix="1" applyAlignment="1">
      <alignment horizontal="right"/>
    </xf>
    <xf numFmtId="165" fontId="0" fillId="0" borderId="0" xfId="0" applyNumberFormat="1" applyAlignment="1">
      <alignment horizontal="right"/>
    </xf>
    <xf numFmtId="0" fontId="0" fillId="0" borderId="0" xfId="0" applyAlignment="1">
      <alignment horizontal="right"/>
    </xf>
    <xf numFmtId="164" fontId="9" fillId="0" borderId="0" xfId="0" applyNumberFormat="1" applyFont="1"/>
    <xf numFmtId="165" fontId="10" fillId="0" borderId="0" xfId="0" applyNumberFormat="1" applyFont="1"/>
    <xf numFmtId="2" fontId="10" fillId="0" borderId="0" xfId="0" applyNumberFormat="1" applyFont="1"/>
    <xf numFmtId="0" fontId="10" fillId="0" borderId="0" xfId="0" applyFont="1"/>
    <xf numFmtId="0" fontId="11" fillId="0" borderId="0" xfId="0" applyFont="1" applyAlignment="1">
      <alignment horizontal="right"/>
    </xf>
    <xf numFmtId="167" fontId="0" fillId="0" borderId="0" xfId="0" applyNumberFormat="1"/>
    <xf numFmtId="2" fontId="12" fillId="0" borderId="0" xfId="0" applyNumberFormat="1" applyFont="1"/>
    <xf numFmtId="168" fontId="10" fillId="0" borderId="0" xfId="0" applyNumberFormat="1" applyFont="1"/>
    <xf numFmtId="0" fontId="0" fillId="0" borderId="0" xfId="0" applyAlignment="1">
      <alignment horizontal="center"/>
    </xf>
    <xf numFmtId="3" fontId="2" fillId="2" borderId="1" xfId="1" applyNumberFormat="1"/>
    <xf numFmtId="0" fontId="0" fillId="0" borderId="0" xfId="0" applyAlignment="1">
      <alignment horizontal="left" indent="1"/>
    </xf>
    <xf numFmtId="0" fontId="0" fillId="0" borderId="0" xfId="0" applyFill="1" applyBorder="1" applyAlignment="1">
      <alignment horizontal="left" indent="1"/>
    </xf>
    <xf numFmtId="0" fontId="0" fillId="0" borderId="0" xfId="0" applyFill="1" applyBorder="1" applyAlignment="1">
      <alignment horizontal="left"/>
    </xf>
    <xf numFmtId="164" fontId="2" fillId="2" borderId="1" xfId="1" applyNumberFormat="1"/>
    <xf numFmtId="169" fontId="0" fillId="0" borderId="0" xfId="0" applyNumberFormat="1"/>
    <xf numFmtId="170" fontId="2" fillId="2" borderId="1" xfId="1" applyNumberFormat="1"/>
    <xf numFmtId="170" fontId="0" fillId="0" borderId="0" xfId="0" applyNumberFormat="1"/>
    <xf numFmtId="171" fontId="8" fillId="3" borderId="2" xfId="198" applyNumberFormat="1"/>
    <xf numFmtId="171" fontId="0" fillId="0" borderId="0" xfId="0" applyNumberFormat="1"/>
    <xf numFmtId="0" fontId="2" fillId="2" borderId="1" xfId="1" applyAlignment="1">
      <alignment horizontal="left"/>
    </xf>
    <xf numFmtId="0" fontId="0" fillId="0" borderId="0" xfId="0" applyNumberFormat="1"/>
    <xf numFmtId="0" fontId="11" fillId="0" borderId="0" xfId="0" applyFont="1"/>
    <xf numFmtId="164" fontId="10" fillId="0" borderId="0" xfId="0" applyNumberFormat="1" applyFont="1"/>
    <xf numFmtId="0" fontId="13" fillId="0" borderId="0" xfId="0" applyFont="1"/>
    <xf numFmtId="0" fontId="14" fillId="0" borderId="0" xfId="0" applyFont="1"/>
    <xf numFmtId="0" fontId="15" fillId="3" borderId="2" xfId="198" applyFont="1"/>
    <xf numFmtId="164" fontId="15" fillId="3" borderId="2" xfId="198" applyNumberFormat="1" applyFont="1"/>
    <xf numFmtId="0" fontId="10" fillId="3" borderId="2" xfId="198" applyFont="1"/>
    <xf numFmtId="164" fontId="10" fillId="3" borderId="2" xfId="198" applyNumberFormat="1" applyFont="1"/>
    <xf numFmtId="0" fontId="0" fillId="0" borderId="0" xfId="0" quotePrefix="1"/>
    <xf numFmtId="0" fontId="16" fillId="0" borderId="0" xfId="0" applyFont="1"/>
    <xf numFmtId="0" fontId="17" fillId="0" borderId="0" xfId="0" applyFont="1"/>
    <xf numFmtId="169" fontId="0" fillId="0" borderId="0" xfId="753" applyNumberFormat="1" applyFont="1"/>
    <xf numFmtId="0" fontId="19" fillId="0" borderId="0" xfId="0" applyFont="1"/>
    <xf numFmtId="0" fontId="0" fillId="0" borderId="0" xfId="0" applyAlignment="1">
      <alignment wrapText="1"/>
    </xf>
    <xf numFmtId="0" fontId="20" fillId="0" borderId="0" xfId="0" applyFont="1"/>
    <xf numFmtId="9" fontId="0" fillId="0" borderId="0" xfId="753" applyFont="1"/>
    <xf numFmtId="0" fontId="20" fillId="0" borderId="0" xfId="0" applyFont="1" applyAlignment="1">
      <alignment horizontal="right"/>
    </xf>
    <xf numFmtId="172" fontId="0" fillId="0" borderId="0" xfId="753" applyNumberFormat="1" applyFont="1"/>
    <xf numFmtId="0" fontId="21" fillId="0" borderId="0" xfId="0" applyFont="1"/>
    <xf numFmtId="0" fontId="22" fillId="0" borderId="0" xfId="0" applyFont="1"/>
    <xf numFmtId="9" fontId="20" fillId="0" borderId="0" xfId="753" applyFont="1"/>
    <xf numFmtId="172" fontId="20" fillId="0" borderId="0" xfId="753" applyNumberFormat="1" applyFont="1"/>
    <xf numFmtId="0" fontId="0" fillId="0" borderId="0" xfId="0" applyFont="1" applyAlignment="1">
      <alignment wrapText="1"/>
    </xf>
    <xf numFmtId="0" fontId="0" fillId="0" borderId="0" xfId="0" quotePrefix="1" applyAlignment="1">
      <alignment horizontal="center"/>
    </xf>
    <xf numFmtId="0" fontId="16" fillId="0" borderId="0" xfId="0" applyFont="1" applyAlignment="1">
      <alignment horizontal="right"/>
    </xf>
    <xf numFmtId="0" fontId="0" fillId="0" borderId="0" xfId="0" applyFont="1"/>
    <xf numFmtId="0" fontId="0" fillId="0" borderId="0" xfId="0" applyFont="1" applyAlignment="1">
      <alignment horizontal="right"/>
    </xf>
    <xf numFmtId="0" fontId="0" fillId="0" borderId="0" xfId="0" applyAlignment="1">
      <alignment vertical="top"/>
    </xf>
    <xf numFmtId="2" fontId="0" fillId="0" borderId="0" xfId="0" applyNumberFormat="1" applyAlignment="1">
      <alignment vertical="top"/>
    </xf>
    <xf numFmtId="0" fontId="0" fillId="0" borderId="0" xfId="0" quotePrefix="1" applyAlignment="1">
      <alignment horizontal="center" vertical="top"/>
    </xf>
    <xf numFmtId="0" fontId="24" fillId="0" borderId="0" xfId="0" applyFont="1" applyAlignment="1">
      <alignment horizontal="right" vertical="top"/>
    </xf>
    <xf numFmtId="168" fontId="0" fillId="0" borderId="0" xfId="0" applyNumberFormat="1"/>
    <xf numFmtId="0" fontId="20" fillId="0" borderId="0" xfId="0" applyFont="1" applyAlignment="1">
      <alignment horizontal="left"/>
    </xf>
    <xf numFmtId="164" fontId="0" fillId="0" borderId="0" xfId="0" applyNumberFormat="1" applyAlignment="1">
      <alignment horizontal="left"/>
    </xf>
    <xf numFmtId="164" fontId="2" fillId="2" borderId="1" xfId="1" applyNumberFormat="1" applyAlignment="1">
      <alignment horizontal="left"/>
    </xf>
    <xf numFmtId="173" fontId="2" fillId="2" borderId="1" xfId="1" applyNumberFormat="1"/>
    <xf numFmtId="173" fontId="0" fillId="0" borderId="0" xfId="753" applyNumberFormat="1" applyFont="1"/>
    <xf numFmtId="173" fontId="6" fillId="0" borderId="0" xfId="753" applyNumberFormat="1" applyFont="1"/>
    <xf numFmtId="0" fontId="0" fillId="0" borderId="0" xfId="753" applyNumberFormat="1" applyFont="1"/>
    <xf numFmtId="9" fontId="6" fillId="0" borderId="0" xfId="0" applyNumberFormat="1" applyFont="1"/>
    <xf numFmtId="0" fontId="1" fillId="0" borderId="0" xfId="1030" applyFont="1"/>
    <xf numFmtId="0" fontId="25" fillId="0" borderId="0" xfId="1030"/>
    <xf numFmtId="0" fontId="3" fillId="0" borderId="0" xfId="1030" applyFont="1"/>
    <xf numFmtId="0" fontId="1" fillId="0" borderId="0" xfId="1030" quotePrefix="1" applyFont="1"/>
    <xf numFmtId="0" fontId="6" fillId="0" borderId="0" xfId="1030" applyFont="1"/>
    <xf numFmtId="0" fontId="0" fillId="0" borderId="0" xfId="1030" applyFont="1"/>
    <xf numFmtId="0" fontId="0" fillId="0" borderId="0" xfId="1030" quotePrefix="1" applyFont="1"/>
    <xf numFmtId="0" fontId="26" fillId="0" borderId="0" xfId="0" applyFont="1"/>
    <xf numFmtId="0" fontId="28" fillId="0" borderId="0" xfId="1030" applyFont="1"/>
    <xf numFmtId="172" fontId="0" fillId="0" borderId="0" xfId="0" applyNumberFormat="1"/>
    <xf numFmtId="164" fontId="0" fillId="0" borderId="0" xfId="0" applyNumberFormat="1" applyAlignment="1">
      <alignment horizontal="right"/>
    </xf>
    <xf numFmtId="0" fontId="0" fillId="0" borderId="0" xfId="0" applyAlignment="1">
      <alignment horizontal="center"/>
    </xf>
    <xf numFmtId="0" fontId="0" fillId="0" borderId="0" xfId="0" applyAlignment="1">
      <alignment horizontal="right" wrapText="1"/>
    </xf>
    <xf numFmtId="0" fontId="24" fillId="0" borderId="0" xfId="0" applyFont="1" applyAlignment="1">
      <alignment horizontal="left" wrapText="1"/>
    </xf>
    <xf numFmtId="0" fontId="0" fillId="0" borderId="0" xfId="0" applyAlignment="1">
      <alignment horizontal="left" wrapText="1"/>
    </xf>
    <xf numFmtId="0" fontId="6" fillId="0" borderId="0" xfId="0" applyFont="1" applyAlignment="1">
      <alignment horizontal="right" wrapText="1"/>
    </xf>
    <xf numFmtId="0" fontId="24" fillId="0" borderId="0" xfId="0" applyFont="1" applyAlignment="1">
      <alignment horizontal="left" vertical="top" wrapText="1"/>
    </xf>
    <xf numFmtId="0" fontId="0" fillId="0" borderId="3" xfId="0" applyBorder="1" applyAlignment="1">
      <alignment horizontal="center"/>
    </xf>
    <xf numFmtId="0" fontId="10" fillId="0" borderId="0" xfId="0" applyFont="1" applyAlignment="1">
      <alignment horizontal="center"/>
    </xf>
    <xf numFmtId="0" fontId="13" fillId="0" borderId="0" xfId="0" applyFont="1" applyAlignment="1">
      <alignment horizontal="center"/>
    </xf>
    <xf numFmtId="0" fontId="9" fillId="0" borderId="0" xfId="0" quotePrefix="1" applyFont="1" applyAlignment="1">
      <alignment horizontal="center"/>
    </xf>
    <xf numFmtId="0" fontId="10" fillId="0" borderId="0" xfId="0" quotePrefix="1" applyFont="1" applyAlignment="1">
      <alignment horizontal="center"/>
    </xf>
  </cellXfs>
  <cellStyles count="1067">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5" builtinId="9" hidden="1"/>
    <cellStyle name="Followed Hyperlink" xfId="757" builtinId="9" hidden="1"/>
    <cellStyle name="Followed Hyperlink" xfId="759" builtinId="9" hidden="1"/>
    <cellStyle name="Followed Hyperlink" xfId="761" builtinId="9" hidden="1"/>
    <cellStyle name="Followed Hyperlink" xfId="763" builtinId="9" hidden="1"/>
    <cellStyle name="Followed Hyperlink" xfId="765" builtinId="9" hidden="1"/>
    <cellStyle name="Followed Hyperlink" xfId="767" builtinId="9" hidden="1"/>
    <cellStyle name="Followed Hyperlink" xfId="769" builtinId="9" hidden="1"/>
    <cellStyle name="Followed Hyperlink" xfId="771" builtinId="9" hidden="1"/>
    <cellStyle name="Followed Hyperlink" xfId="773" builtinId="9" hidden="1"/>
    <cellStyle name="Followed Hyperlink" xfId="775" builtinId="9" hidden="1"/>
    <cellStyle name="Followed Hyperlink" xfId="777" builtinId="9" hidden="1"/>
    <cellStyle name="Followed Hyperlink" xfId="779" builtinId="9" hidden="1"/>
    <cellStyle name="Followed Hyperlink" xfId="781" builtinId="9" hidden="1"/>
    <cellStyle name="Followed Hyperlink" xfId="783" builtinId="9" hidden="1"/>
    <cellStyle name="Followed Hyperlink" xfId="785" builtinId="9" hidden="1"/>
    <cellStyle name="Followed Hyperlink" xfId="787" builtinId="9" hidden="1"/>
    <cellStyle name="Followed Hyperlink" xfId="789" builtinId="9" hidden="1"/>
    <cellStyle name="Followed Hyperlink" xfId="791" builtinId="9" hidden="1"/>
    <cellStyle name="Followed Hyperlink" xfId="793" builtinId="9" hidden="1"/>
    <cellStyle name="Followed Hyperlink" xfId="795" builtinId="9" hidden="1"/>
    <cellStyle name="Followed Hyperlink" xfId="797" builtinId="9" hidden="1"/>
    <cellStyle name="Followed Hyperlink" xfId="799" builtinId="9" hidden="1"/>
    <cellStyle name="Followed Hyperlink" xfId="801" builtinId="9" hidden="1"/>
    <cellStyle name="Followed Hyperlink" xfId="803" builtinId="9" hidden="1"/>
    <cellStyle name="Followed Hyperlink" xfId="805" builtinId="9" hidden="1"/>
    <cellStyle name="Followed Hyperlink" xfId="807" builtinId="9" hidden="1"/>
    <cellStyle name="Followed Hyperlink" xfId="809" builtinId="9" hidden="1"/>
    <cellStyle name="Followed Hyperlink" xfId="811" builtinId="9" hidden="1"/>
    <cellStyle name="Followed Hyperlink" xfId="813" builtinId="9" hidden="1"/>
    <cellStyle name="Followed Hyperlink" xfId="815" builtinId="9" hidden="1"/>
    <cellStyle name="Followed Hyperlink" xfId="817" builtinId="9" hidden="1"/>
    <cellStyle name="Followed Hyperlink" xfId="819" builtinId="9" hidden="1"/>
    <cellStyle name="Followed Hyperlink" xfId="821" builtinId="9" hidden="1"/>
    <cellStyle name="Followed Hyperlink" xfId="823" builtinId="9" hidden="1"/>
    <cellStyle name="Followed Hyperlink" xfId="825" builtinId="9" hidden="1"/>
    <cellStyle name="Followed Hyperlink" xfId="827" builtinId="9" hidden="1"/>
    <cellStyle name="Followed Hyperlink" xfId="829" builtinId="9" hidden="1"/>
    <cellStyle name="Followed Hyperlink" xfId="831" builtinId="9" hidden="1"/>
    <cellStyle name="Followed Hyperlink" xfId="833" builtinId="9" hidden="1"/>
    <cellStyle name="Followed Hyperlink" xfId="835" builtinId="9" hidden="1"/>
    <cellStyle name="Followed Hyperlink" xfId="837" builtinId="9" hidden="1"/>
    <cellStyle name="Followed Hyperlink" xfId="839" builtinId="9" hidden="1"/>
    <cellStyle name="Followed Hyperlink" xfId="841" builtinId="9" hidden="1"/>
    <cellStyle name="Followed Hyperlink" xfId="843" builtinId="9" hidden="1"/>
    <cellStyle name="Followed Hyperlink" xfId="845" builtinId="9" hidden="1"/>
    <cellStyle name="Followed Hyperlink" xfId="847" builtinId="9" hidden="1"/>
    <cellStyle name="Followed Hyperlink" xfId="849" builtinId="9" hidden="1"/>
    <cellStyle name="Followed Hyperlink" xfId="851" builtinId="9" hidden="1"/>
    <cellStyle name="Followed Hyperlink" xfId="853" builtinId="9" hidden="1"/>
    <cellStyle name="Followed Hyperlink" xfId="855" builtinId="9" hidden="1"/>
    <cellStyle name="Followed Hyperlink" xfId="857" builtinId="9" hidden="1"/>
    <cellStyle name="Followed Hyperlink" xfId="859" builtinId="9" hidden="1"/>
    <cellStyle name="Followed Hyperlink" xfId="861" builtinId="9" hidden="1"/>
    <cellStyle name="Followed Hyperlink" xfId="863" builtinId="9" hidden="1"/>
    <cellStyle name="Followed Hyperlink" xfId="865" builtinId="9" hidden="1"/>
    <cellStyle name="Followed Hyperlink" xfId="867" builtinId="9" hidden="1"/>
    <cellStyle name="Followed Hyperlink" xfId="869" builtinId="9" hidden="1"/>
    <cellStyle name="Followed Hyperlink" xfId="871" builtinId="9" hidden="1"/>
    <cellStyle name="Followed Hyperlink" xfId="873" builtinId="9" hidden="1"/>
    <cellStyle name="Followed Hyperlink" xfId="875" builtinId="9" hidden="1"/>
    <cellStyle name="Followed Hyperlink" xfId="877" builtinId="9" hidden="1"/>
    <cellStyle name="Followed Hyperlink" xfId="879" builtinId="9" hidden="1"/>
    <cellStyle name="Followed Hyperlink" xfId="881" builtinId="9" hidden="1"/>
    <cellStyle name="Followed Hyperlink" xfId="883" builtinId="9" hidden="1"/>
    <cellStyle name="Followed Hyperlink" xfId="885" builtinId="9" hidden="1"/>
    <cellStyle name="Followed Hyperlink" xfId="887" builtinId="9" hidden="1"/>
    <cellStyle name="Followed Hyperlink" xfId="889" builtinId="9" hidden="1"/>
    <cellStyle name="Followed Hyperlink" xfId="891" builtinId="9" hidden="1"/>
    <cellStyle name="Followed Hyperlink" xfId="893" builtinId="9" hidden="1"/>
    <cellStyle name="Followed Hyperlink" xfId="895" builtinId="9" hidden="1"/>
    <cellStyle name="Followed Hyperlink" xfId="897" builtinId="9" hidden="1"/>
    <cellStyle name="Followed Hyperlink" xfId="899" builtinId="9" hidden="1"/>
    <cellStyle name="Followed Hyperlink" xfId="901" builtinId="9" hidden="1"/>
    <cellStyle name="Followed Hyperlink" xfId="903" builtinId="9" hidden="1"/>
    <cellStyle name="Followed Hyperlink" xfId="905" builtinId="9" hidden="1"/>
    <cellStyle name="Followed Hyperlink" xfId="907" builtinId="9" hidden="1"/>
    <cellStyle name="Followed Hyperlink" xfId="909" builtinId="9" hidden="1"/>
    <cellStyle name="Followed Hyperlink" xfId="911" builtinId="9" hidden="1"/>
    <cellStyle name="Followed Hyperlink" xfId="913" builtinId="9" hidden="1"/>
    <cellStyle name="Followed Hyperlink" xfId="915" builtinId="9" hidden="1"/>
    <cellStyle name="Followed Hyperlink" xfId="917" builtinId="9" hidden="1"/>
    <cellStyle name="Followed Hyperlink" xfId="919" builtinId="9" hidden="1"/>
    <cellStyle name="Followed Hyperlink" xfId="921" builtinId="9" hidden="1"/>
    <cellStyle name="Followed Hyperlink" xfId="923" builtinId="9" hidden="1"/>
    <cellStyle name="Followed Hyperlink" xfId="925" builtinId="9" hidden="1"/>
    <cellStyle name="Followed Hyperlink" xfId="927" builtinId="9" hidden="1"/>
    <cellStyle name="Followed Hyperlink" xfId="929" builtinId="9" hidden="1"/>
    <cellStyle name="Followed Hyperlink" xfId="931" builtinId="9" hidden="1"/>
    <cellStyle name="Followed Hyperlink" xfId="933" builtinId="9" hidden="1"/>
    <cellStyle name="Followed Hyperlink" xfId="935" builtinId="9" hidden="1"/>
    <cellStyle name="Followed Hyperlink" xfId="937" builtinId="9" hidden="1"/>
    <cellStyle name="Followed Hyperlink" xfId="939" builtinId="9" hidden="1"/>
    <cellStyle name="Followed Hyperlink" xfId="941" builtinId="9" hidden="1"/>
    <cellStyle name="Followed Hyperlink" xfId="943" builtinId="9" hidden="1"/>
    <cellStyle name="Followed Hyperlink" xfId="945" builtinId="9" hidden="1"/>
    <cellStyle name="Followed Hyperlink" xfId="947" builtinId="9" hidden="1"/>
    <cellStyle name="Followed Hyperlink" xfId="949" builtinId="9" hidden="1"/>
    <cellStyle name="Followed Hyperlink" xfId="951" builtinId="9" hidden="1"/>
    <cellStyle name="Followed Hyperlink" xfId="953" builtinId="9" hidden="1"/>
    <cellStyle name="Followed Hyperlink" xfId="955" builtinId="9" hidden="1"/>
    <cellStyle name="Followed Hyperlink" xfId="957" builtinId="9" hidden="1"/>
    <cellStyle name="Followed Hyperlink" xfId="959" builtinId="9" hidden="1"/>
    <cellStyle name="Followed Hyperlink" xfId="961" builtinId="9" hidden="1"/>
    <cellStyle name="Followed Hyperlink" xfId="963" builtinId="9" hidden="1"/>
    <cellStyle name="Followed Hyperlink" xfId="965" builtinId="9" hidden="1"/>
    <cellStyle name="Followed Hyperlink" xfId="967" builtinId="9" hidden="1"/>
    <cellStyle name="Followed Hyperlink" xfId="969" builtinId="9" hidden="1"/>
    <cellStyle name="Followed Hyperlink" xfId="971" builtinId="9" hidden="1"/>
    <cellStyle name="Followed Hyperlink" xfId="973" builtinId="9" hidden="1"/>
    <cellStyle name="Followed Hyperlink" xfId="975" builtinId="9" hidden="1"/>
    <cellStyle name="Followed Hyperlink" xfId="977" builtinId="9" hidden="1"/>
    <cellStyle name="Followed Hyperlink" xfId="979" builtinId="9" hidden="1"/>
    <cellStyle name="Followed Hyperlink" xfId="981" builtinId="9" hidden="1"/>
    <cellStyle name="Followed Hyperlink" xfId="983" builtinId="9" hidden="1"/>
    <cellStyle name="Followed Hyperlink" xfId="985" builtinId="9" hidden="1"/>
    <cellStyle name="Followed Hyperlink" xfId="987" builtinId="9" hidden="1"/>
    <cellStyle name="Followed Hyperlink" xfId="989" builtinId="9" hidden="1"/>
    <cellStyle name="Followed Hyperlink" xfId="991" builtinId="9" hidden="1"/>
    <cellStyle name="Followed Hyperlink" xfId="993" builtinId="9" hidden="1"/>
    <cellStyle name="Followed Hyperlink" xfId="995" builtinId="9" hidden="1"/>
    <cellStyle name="Followed Hyperlink" xfId="997" builtinId="9" hidden="1"/>
    <cellStyle name="Followed Hyperlink" xfId="999" builtinId="9" hidden="1"/>
    <cellStyle name="Followed Hyperlink" xfId="1001" builtinId="9" hidden="1"/>
    <cellStyle name="Followed Hyperlink" xfId="1003" builtinId="9" hidden="1"/>
    <cellStyle name="Followed Hyperlink" xfId="1005" builtinId="9" hidden="1"/>
    <cellStyle name="Followed Hyperlink" xfId="1007" builtinId="9" hidden="1"/>
    <cellStyle name="Followed Hyperlink" xfId="1009" builtinId="9" hidden="1"/>
    <cellStyle name="Followed Hyperlink" xfId="1011" builtinId="9" hidden="1"/>
    <cellStyle name="Followed Hyperlink" xfId="1013" builtinId="9" hidden="1"/>
    <cellStyle name="Followed Hyperlink" xfId="1015" builtinId="9" hidden="1"/>
    <cellStyle name="Followed Hyperlink" xfId="1017" builtinId="9" hidden="1"/>
    <cellStyle name="Followed Hyperlink" xfId="1019" builtinId="9" hidden="1"/>
    <cellStyle name="Followed Hyperlink" xfId="1021" builtinId="9" hidden="1"/>
    <cellStyle name="Followed Hyperlink" xfId="1023" builtinId="9" hidden="1"/>
    <cellStyle name="Followed Hyperlink" xfId="1025" builtinId="9" hidden="1"/>
    <cellStyle name="Followed Hyperlink" xfId="1027" builtinId="9" hidden="1"/>
    <cellStyle name="Followed Hyperlink" xfId="1029"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4" builtinId="8" hidden="1"/>
    <cellStyle name="Hyperlink" xfId="756" builtinId="8" hidden="1"/>
    <cellStyle name="Hyperlink" xfId="758" builtinId="8" hidden="1"/>
    <cellStyle name="Hyperlink" xfId="760" builtinId="8" hidden="1"/>
    <cellStyle name="Hyperlink" xfId="762" builtinId="8" hidden="1"/>
    <cellStyle name="Hyperlink" xfId="764" builtinId="8" hidden="1"/>
    <cellStyle name="Hyperlink" xfId="766" builtinId="8" hidden="1"/>
    <cellStyle name="Hyperlink" xfId="768" builtinId="8" hidden="1"/>
    <cellStyle name="Hyperlink" xfId="770" builtinId="8" hidden="1"/>
    <cellStyle name="Hyperlink" xfId="772" builtinId="8" hidden="1"/>
    <cellStyle name="Hyperlink" xfId="774" builtinId="8" hidden="1"/>
    <cellStyle name="Hyperlink" xfId="776" builtinId="8" hidden="1"/>
    <cellStyle name="Hyperlink" xfId="778" builtinId="8" hidden="1"/>
    <cellStyle name="Hyperlink" xfId="780" builtinId="8" hidden="1"/>
    <cellStyle name="Hyperlink" xfId="782" builtinId="8" hidden="1"/>
    <cellStyle name="Hyperlink" xfId="784" builtinId="8" hidden="1"/>
    <cellStyle name="Hyperlink" xfId="786" builtinId="8" hidden="1"/>
    <cellStyle name="Hyperlink" xfId="788" builtinId="8" hidden="1"/>
    <cellStyle name="Hyperlink" xfId="790" builtinId="8" hidden="1"/>
    <cellStyle name="Hyperlink" xfId="792" builtinId="8" hidden="1"/>
    <cellStyle name="Hyperlink" xfId="794" builtinId="8" hidden="1"/>
    <cellStyle name="Hyperlink" xfId="796" builtinId="8" hidden="1"/>
    <cellStyle name="Hyperlink" xfId="798" builtinId="8" hidden="1"/>
    <cellStyle name="Hyperlink" xfId="800" builtinId="8" hidden="1"/>
    <cellStyle name="Hyperlink" xfId="802" builtinId="8" hidden="1"/>
    <cellStyle name="Hyperlink" xfId="804" builtinId="8" hidden="1"/>
    <cellStyle name="Hyperlink" xfId="806" builtinId="8" hidden="1"/>
    <cellStyle name="Hyperlink" xfId="808" builtinId="8" hidden="1"/>
    <cellStyle name="Hyperlink" xfId="810" builtinId="8" hidden="1"/>
    <cellStyle name="Hyperlink" xfId="812" builtinId="8" hidden="1"/>
    <cellStyle name="Hyperlink" xfId="814" builtinId="8" hidden="1"/>
    <cellStyle name="Hyperlink" xfId="816" builtinId="8" hidden="1"/>
    <cellStyle name="Hyperlink" xfId="818" builtinId="8" hidden="1"/>
    <cellStyle name="Hyperlink" xfId="820" builtinId="8" hidden="1"/>
    <cellStyle name="Hyperlink" xfId="822" builtinId="8" hidden="1"/>
    <cellStyle name="Hyperlink" xfId="824" builtinId="8" hidden="1"/>
    <cellStyle name="Hyperlink" xfId="826" builtinId="8" hidden="1"/>
    <cellStyle name="Hyperlink" xfId="828" builtinId="8" hidden="1"/>
    <cellStyle name="Hyperlink" xfId="830" builtinId="8" hidden="1"/>
    <cellStyle name="Hyperlink" xfId="832" builtinId="8" hidden="1"/>
    <cellStyle name="Hyperlink" xfId="834" builtinId="8" hidden="1"/>
    <cellStyle name="Hyperlink" xfId="836" builtinId="8" hidden="1"/>
    <cellStyle name="Hyperlink" xfId="838" builtinId="8" hidden="1"/>
    <cellStyle name="Hyperlink" xfId="840" builtinId="8" hidden="1"/>
    <cellStyle name="Hyperlink" xfId="842" builtinId="8" hidden="1"/>
    <cellStyle name="Hyperlink" xfId="844" builtinId="8" hidden="1"/>
    <cellStyle name="Hyperlink" xfId="846" builtinId="8" hidden="1"/>
    <cellStyle name="Hyperlink" xfId="848" builtinId="8" hidden="1"/>
    <cellStyle name="Hyperlink" xfId="850" builtinId="8" hidden="1"/>
    <cellStyle name="Hyperlink" xfId="852" builtinId="8" hidden="1"/>
    <cellStyle name="Hyperlink" xfId="854" builtinId="8" hidden="1"/>
    <cellStyle name="Hyperlink" xfId="856" builtinId="8" hidden="1"/>
    <cellStyle name="Hyperlink" xfId="858" builtinId="8" hidden="1"/>
    <cellStyle name="Hyperlink" xfId="860" builtinId="8" hidden="1"/>
    <cellStyle name="Hyperlink" xfId="862" builtinId="8" hidden="1"/>
    <cellStyle name="Hyperlink" xfId="864" builtinId="8" hidden="1"/>
    <cellStyle name="Hyperlink" xfId="866" builtinId="8" hidden="1"/>
    <cellStyle name="Hyperlink" xfId="868" builtinId="8" hidden="1"/>
    <cellStyle name="Hyperlink" xfId="870" builtinId="8" hidden="1"/>
    <cellStyle name="Hyperlink" xfId="872" builtinId="8" hidden="1"/>
    <cellStyle name="Hyperlink" xfId="874" builtinId="8" hidden="1"/>
    <cellStyle name="Hyperlink" xfId="876" builtinId="8" hidden="1"/>
    <cellStyle name="Hyperlink" xfId="878" builtinId="8" hidden="1"/>
    <cellStyle name="Hyperlink" xfId="880" builtinId="8" hidden="1"/>
    <cellStyle name="Hyperlink" xfId="882" builtinId="8" hidden="1"/>
    <cellStyle name="Hyperlink" xfId="884" builtinId="8" hidden="1"/>
    <cellStyle name="Hyperlink" xfId="886" builtinId="8" hidden="1"/>
    <cellStyle name="Hyperlink" xfId="888" builtinId="8" hidden="1"/>
    <cellStyle name="Hyperlink" xfId="890" builtinId="8" hidden="1"/>
    <cellStyle name="Hyperlink" xfId="892" builtinId="8" hidden="1"/>
    <cellStyle name="Hyperlink" xfId="894" builtinId="8" hidden="1"/>
    <cellStyle name="Hyperlink" xfId="896" builtinId="8" hidden="1"/>
    <cellStyle name="Hyperlink" xfId="898" builtinId="8" hidden="1"/>
    <cellStyle name="Hyperlink" xfId="900" builtinId="8" hidden="1"/>
    <cellStyle name="Hyperlink" xfId="902" builtinId="8" hidden="1"/>
    <cellStyle name="Hyperlink" xfId="904" builtinId="8" hidden="1"/>
    <cellStyle name="Hyperlink" xfId="906" builtinId="8" hidden="1"/>
    <cellStyle name="Hyperlink" xfId="908" builtinId="8" hidden="1"/>
    <cellStyle name="Hyperlink" xfId="910" builtinId="8" hidden="1"/>
    <cellStyle name="Hyperlink" xfId="912" builtinId="8" hidden="1"/>
    <cellStyle name="Hyperlink" xfId="914" builtinId="8" hidden="1"/>
    <cellStyle name="Hyperlink" xfId="916" builtinId="8" hidden="1"/>
    <cellStyle name="Hyperlink" xfId="918" builtinId="8" hidden="1"/>
    <cellStyle name="Hyperlink" xfId="920" builtinId="8" hidden="1"/>
    <cellStyle name="Hyperlink" xfId="922" builtinId="8" hidden="1"/>
    <cellStyle name="Hyperlink" xfId="924" builtinId="8" hidden="1"/>
    <cellStyle name="Hyperlink" xfId="926" builtinId="8" hidden="1"/>
    <cellStyle name="Hyperlink" xfId="928" builtinId="8" hidden="1"/>
    <cellStyle name="Hyperlink" xfId="930" builtinId="8" hidden="1"/>
    <cellStyle name="Hyperlink" xfId="932" builtinId="8" hidden="1"/>
    <cellStyle name="Hyperlink" xfId="934" builtinId="8" hidden="1"/>
    <cellStyle name="Hyperlink" xfId="936" builtinId="8" hidden="1"/>
    <cellStyle name="Hyperlink" xfId="938" builtinId="8" hidden="1"/>
    <cellStyle name="Hyperlink" xfId="940" builtinId="8" hidden="1"/>
    <cellStyle name="Hyperlink" xfId="942" builtinId="8" hidden="1"/>
    <cellStyle name="Hyperlink" xfId="944" builtinId="8" hidden="1"/>
    <cellStyle name="Hyperlink" xfId="946" builtinId="8" hidden="1"/>
    <cellStyle name="Hyperlink" xfId="948" builtinId="8" hidden="1"/>
    <cellStyle name="Hyperlink" xfId="950" builtinId="8" hidden="1"/>
    <cellStyle name="Hyperlink" xfId="952" builtinId="8" hidden="1"/>
    <cellStyle name="Hyperlink" xfId="954" builtinId="8" hidden="1"/>
    <cellStyle name="Hyperlink" xfId="956" builtinId="8" hidden="1"/>
    <cellStyle name="Hyperlink" xfId="958" builtinId="8" hidden="1"/>
    <cellStyle name="Hyperlink" xfId="960" builtinId="8" hidden="1"/>
    <cellStyle name="Hyperlink" xfId="962" builtinId="8" hidden="1"/>
    <cellStyle name="Hyperlink" xfId="964" builtinId="8" hidden="1"/>
    <cellStyle name="Hyperlink" xfId="966" builtinId="8" hidden="1"/>
    <cellStyle name="Hyperlink" xfId="968" builtinId="8" hidden="1"/>
    <cellStyle name="Hyperlink" xfId="970" builtinId="8" hidden="1"/>
    <cellStyle name="Hyperlink" xfId="972" builtinId="8" hidden="1"/>
    <cellStyle name="Hyperlink" xfId="974" builtinId="8" hidden="1"/>
    <cellStyle name="Hyperlink" xfId="976" builtinId="8" hidden="1"/>
    <cellStyle name="Hyperlink" xfId="978" builtinId="8" hidden="1"/>
    <cellStyle name="Hyperlink" xfId="980" builtinId="8" hidden="1"/>
    <cellStyle name="Hyperlink" xfId="982" builtinId="8" hidden="1"/>
    <cellStyle name="Hyperlink" xfId="984" builtinId="8" hidden="1"/>
    <cellStyle name="Hyperlink" xfId="986" builtinId="8" hidden="1"/>
    <cellStyle name="Hyperlink" xfId="988" builtinId="8" hidden="1"/>
    <cellStyle name="Hyperlink" xfId="990" builtinId="8" hidden="1"/>
    <cellStyle name="Hyperlink" xfId="992" builtinId="8" hidden="1"/>
    <cellStyle name="Hyperlink" xfId="994" builtinId="8" hidden="1"/>
    <cellStyle name="Hyperlink" xfId="996" builtinId="8" hidden="1"/>
    <cellStyle name="Hyperlink" xfId="998" builtinId="8" hidden="1"/>
    <cellStyle name="Hyperlink" xfId="1000" builtinId="8" hidden="1"/>
    <cellStyle name="Hyperlink" xfId="1002" builtinId="8" hidden="1"/>
    <cellStyle name="Hyperlink" xfId="1004" builtinId="8" hidden="1"/>
    <cellStyle name="Hyperlink" xfId="1006" builtinId="8" hidden="1"/>
    <cellStyle name="Hyperlink" xfId="1008" builtinId="8" hidden="1"/>
    <cellStyle name="Hyperlink" xfId="1010" builtinId="8" hidden="1"/>
    <cellStyle name="Hyperlink" xfId="1012" builtinId="8" hidden="1"/>
    <cellStyle name="Hyperlink" xfId="1014" builtinId="8" hidden="1"/>
    <cellStyle name="Hyperlink" xfId="1016" builtinId="8" hidden="1"/>
    <cellStyle name="Hyperlink" xfId="1018" builtinId="8" hidden="1"/>
    <cellStyle name="Hyperlink" xfId="1020" builtinId="8" hidden="1"/>
    <cellStyle name="Hyperlink" xfId="1022" builtinId="8" hidden="1"/>
    <cellStyle name="Hyperlink" xfId="1024" builtinId="8" hidden="1"/>
    <cellStyle name="Hyperlink" xfId="1026" builtinId="8" hidden="1"/>
    <cellStyle name="Hyperlink" xfId="1028"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Input" xfId="1" builtinId="20"/>
    <cellStyle name="Normal" xfId="0" builtinId="0"/>
    <cellStyle name="Normal 2" xfId="1030"/>
    <cellStyle name="Output" xfId="198" builtinId="21"/>
    <cellStyle name="Percent" xfId="753" builtinId="5"/>
  </cellStyles>
  <dxfs count="0"/>
  <tableStyles count="0" defaultTableStyle="TableStyleMedium9" defaultPivotStyle="PivotStyleMedium4"/>
  <colors>
    <mruColors>
      <color rgb="FF0000FF"/>
      <color rgb="FF008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1.xml"/><Relationship Id="rId18" Type="http://schemas.openxmlformats.org/officeDocument/2006/relationships/worksheet" Target="worksheets/sheet16.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hartsheet" Target="chartsheets/sheet3.xml"/><Relationship Id="rId7" Type="http://schemas.openxmlformats.org/officeDocument/2006/relationships/worksheet" Target="worksheets/sheet7.xml"/><Relationship Id="rId12" Type="http://schemas.openxmlformats.org/officeDocument/2006/relationships/chartsheet" Target="chartsheets/sheet2.xml"/><Relationship Id="rId17" Type="http://schemas.openxmlformats.org/officeDocument/2006/relationships/worksheet" Target="worksheets/sheet15.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4.xml"/><Relationship Id="rId20" Type="http://schemas.openxmlformats.org/officeDocument/2006/relationships/worksheet" Target="worksheets/sheet1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0.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3.xml"/><Relationship Id="rId23" Type="http://schemas.openxmlformats.org/officeDocument/2006/relationships/theme" Target="theme/theme1.xml"/><Relationship Id="rId10" Type="http://schemas.openxmlformats.org/officeDocument/2006/relationships/worksheet" Target="worksheets/sheet9.xml"/><Relationship Id="rId19" Type="http://schemas.openxmlformats.org/officeDocument/2006/relationships/worksheet" Target="worksheets/sheet17.xml"/><Relationship Id="rId4" Type="http://schemas.openxmlformats.org/officeDocument/2006/relationships/worksheet" Target="worksheets/sheet4.xml"/><Relationship Id="rId9" Type="http://schemas.openxmlformats.org/officeDocument/2006/relationships/chartsheet" Target="chartsheets/sheet1.xml"/><Relationship Id="rId14" Type="http://schemas.openxmlformats.org/officeDocument/2006/relationships/worksheet" Target="worksheets/sheet12.xml"/><Relationship Id="rId22" Type="http://schemas.openxmlformats.org/officeDocument/2006/relationships/worksheet" Target="worksheets/sheet1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Figure 1.  Weekly hours of the marginal "29er" but for the ACA</a:t>
            </a:r>
          </a:p>
          <a:p>
            <a:pPr>
              <a:defRPr/>
            </a:pPr>
            <a:r>
              <a:rPr lang="en-US" sz="1600" b="0"/>
              <a:t>as a function</a:t>
            </a:r>
            <a:r>
              <a:rPr lang="en-US" sz="1600" b="0" baseline="0"/>
              <a:t> of the tax parameters</a:t>
            </a:r>
            <a:endParaRPr lang="en-US" sz="1600" b="0"/>
          </a:p>
        </c:rich>
      </c:tx>
      <c:layout/>
      <c:overlay val="1"/>
    </c:title>
    <c:autoTitleDeleted val="0"/>
    <c:plotArea>
      <c:layout>
        <c:manualLayout>
          <c:layoutTarget val="inner"/>
          <c:xMode val="edge"/>
          <c:yMode val="edge"/>
          <c:x val="6.4049328125701299E-2"/>
          <c:y val="5.38034740312602E-2"/>
          <c:w val="0.86538053493108302"/>
          <c:h val="0.85952954554705296"/>
        </c:manualLayout>
      </c:layout>
      <c:scatterChart>
        <c:scatterStyle val="lineMarker"/>
        <c:varyColors val="0"/>
        <c:ser>
          <c:idx val="0"/>
          <c:order val="0"/>
          <c:tx>
            <c:strRef>
              <c:f>criticalhours!$D$10</c:f>
              <c:strCache>
                <c:ptCount val="1"/>
                <c:pt idx="0">
                  <c:v>tau = 0%</c:v>
                </c:pt>
              </c:strCache>
            </c:strRef>
          </c:tx>
          <c:spPr>
            <a:ln w="38100">
              <a:solidFill>
                <a:srgbClr val="0000FF"/>
              </a:solidFill>
            </a:ln>
          </c:spPr>
          <c:marker>
            <c:symbol val="none"/>
          </c:marker>
          <c:xVal>
            <c:numRef>
              <c:f>criticalhours!$B$15:$B$138</c:f>
              <c:numCache>
                <c:formatCode>General</c:formatCode>
                <c:ptCount val="124"/>
                <c:pt idx="0">
                  <c:v>0.16</c:v>
                </c:pt>
                <c:pt idx="1">
                  <c:v>0.24</c:v>
                </c:pt>
                <c:pt idx="2">
                  <c:v>0.32</c:v>
                </c:pt>
                <c:pt idx="3">
                  <c:v>0.4</c:v>
                </c:pt>
                <c:pt idx="4">
                  <c:v>0.48</c:v>
                </c:pt>
                <c:pt idx="5">
                  <c:v>0.56000000000000005</c:v>
                </c:pt>
                <c:pt idx="6">
                  <c:v>0.64</c:v>
                </c:pt>
                <c:pt idx="7">
                  <c:v>0.72</c:v>
                </c:pt>
                <c:pt idx="8">
                  <c:v>0.8</c:v>
                </c:pt>
                <c:pt idx="9">
                  <c:v>0.88</c:v>
                </c:pt>
                <c:pt idx="10">
                  <c:v>0.96</c:v>
                </c:pt>
                <c:pt idx="11">
                  <c:v>1.04</c:v>
                </c:pt>
                <c:pt idx="12">
                  <c:v>1.1200000000000001</c:v>
                </c:pt>
                <c:pt idx="13">
                  <c:v>1.2</c:v>
                </c:pt>
                <c:pt idx="14">
                  <c:v>1.28</c:v>
                </c:pt>
                <c:pt idx="15">
                  <c:v>1.36</c:v>
                </c:pt>
                <c:pt idx="16">
                  <c:v>1.44</c:v>
                </c:pt>
                <c:pt idx="17">
                  <c:v>1.52</c:v>
                </c:pt>
                <c:pt idx="18">
                  <c:v>1.6</c:v>
                </c:pt>
                <c:pt idx="19">
                  <c:v>1.68</c:v>
                </c:pt>
                <c:pt idx="20">
                  <c:v>1.76</c:v>
                </c:pt>
                <c:pt idx="21">
                  <c:v>1.84</c:v>
                </c:pt>
                <c:pt idx="22">
                  <c:v>1.92</c:v>
                </c:pt>
                <c:pt idx="23">
                  <c:v>2</c:v>
                </c:pt>
                <c:pt idx="24">
                  <c:v>2.08</c:v>
                </c:pt>
                <c:pt idx="25">
                  <c:v>2.16</c:v>
                </c:pt>
                <c:pt idx="26">
                  <c:v>2.2400000000000002</c:v>
                </c:pt>
                <c:pt idx="27">
                  <c:v>2.3199999999999998</c:v>
                </c:pt>
                <c:pt idx="28">
                  <c:v>2.4</c:v>
                </c:pt>
                <c:pt idx="29">
                  <c:v>2.48</c:v>
                </c:pt>
                <c:pt idx="30">
                  <c:v>2.56</c:v>
                </c:pt>
                <c:pt idx="31">
                  <c:v>2.64</c:v>
                </c:pt>
                <c:pt idx="32">
                  <c:v>2.72</c:v>
                </c:pt>
                <c:pt idx="33">
                  <c:v>2.8000000000000003</c:v>
                </c:pt>
                <c:pt idx="34">
                  <c:v>2.88</c:v>
                </c:pt>
                <c:pt idx="35">
                  <c:v>2.96</c:v>
                </c:pt>
                <c:pt idx="36">
                  <c:v>3.04</c:v>
                </c:pt>
                <c:pt idx="37">
                  <c:v>3.12</c:v>
                </c:pt>
                <c:pt idx="38">
                  <c:v>3.2</c:v>
                </c:pt>
                <c:pt idx="39">
                  <c:v>3.2800000000000002</c:v>
                </c:pt>
                <c:pt idx="40">
                  <c:v>3.36</c:v>
                </c:pt>
                <c:pt idx="41">
                  <c:v>3.44</c:v>
                </c:pt>
                <c:pt idx="42">
                  <c:v>3.52</c:v>
                </c:pt>
                <c:pt idx="43">
                  <c:v>3.6</c:v>
                </c:pt>
                <c:pt idx="44">
                  <c:v>3.68</c:v>
                </c:pt>
                <c:pt idx="45">
                  <c:v>3.7600000000000002</c:v>
                </c:pt>
                <c:pt idx="46">
                  <c:v>3.84</c:v>
                </c:pt>
                <c:pt idx="47">
                  <c:v>3.92</c:v>
                </c:pt>
                <c:pt idx="48">
                  <c:v>4</c:v>
                </c:pt>
                <c:pt idx="49">
                  <c:v>4.08</c:v>
                </c:pt>
                <c:pt idx="50">
                  <c:v>4.16</c:v>
                </c:pt>
                <c:pt idx="51">
                  <c:v>4.24</c:v>
                </c:pt>
                <c:pt idx="52">
                  <c:v>4.32</c:v>
                </c:pt>
                <c:pt idx="53">
                  <c:v>4.4000000000000004</c:v>
                </c:pt>
                <c:pt idx="54">
                  <c:v>4.4800000000000004</c:v>
                </c:pt>
                <c:pt idx="55">
                  <c:v>4.5600000000000005</c:v>
                </c:pt>
                <c:pt idx="56">
                  <c:v>4.6399999999999997</c:v>
                </c:pt>
                <c:pt idx="57">
                  <c:v>4.72</c:v>
                </c:pt>
                <c:pt idx="58">
                  <c:v>4.8</c:v>
                </c:pt>
                <c:pt idx="59">
                  <c:v>4.88</c:v>
                </c:pt>
                <c:pt idx="60">
                  <c:v>4.96</c:v>
                </c:pt>
                <c:pt idx="61">
                  <c:v>5.04</c:v>
                </c:pt>
                <c:pt idx="62">
                  <c:v>5.12</c:v>
                </c:pt>
                <c:pt idx="63">
                  <c:v>5.2</c:v>
                </c:pt>
                <c:pt idx="64">
                  <c:v>5.28</c:v>
                </c:pt>
                <c:pt idx="65">
                  <c:v>5.36</c:v>
                </c:pt>
                <c:pt idx="66">
                  <c:v>5.44</c:v>
                </c:pt>
                <c:pt idx="67">
                  <c:v>5.5200000000000005</c:v>
                </c:pt>
                <c:pt idx="68">
                  <c:v>5.6000000000000005</c:v>
                </c:pt>
                <c:pt idx="69">
                  <c:v>5.68</c:v>
                </c:pt>
                <c:pt idx="70">
                  <c:v>5.76</c:v>
                </c:pt>
                <c:pt idx="71">
                  <c:v>5.84</c:v>
                </c:pt>
                <c:pt idx="72">
                  <c:v>5.92</c:v>
                </c:pt>
                <c:pt idx="73">
                  <c:v>6</c:v>
                </c:pt>
                <c:pt idx="74">
                  <c:v>6.08</c:v>
                </c:pt>
                <c:pt idx="75">
                  <c:v>6.16</c:v>
                </c:pt>
                <c:pt idx="76">
                  <c:v>6.24</c:v>
                </c:pt>
                <c:pt idx="77">
                  <c:v>6.32</c:v>
                </c:pt>
                <c:pt idx="78">
                  <c:v>6.4</c:v>
                </c:pt>
                <c:pt idx="79">
                  <c:v>6.48</c:v>
                </c:pt>
                <c:pt idx="80">
                  <c:v>6.5600000000000005</c:v>
                </c:pt>
                <c:pt idx="81">
                  <c:v>6.6400000000000006</c:v>
                </c:pt>
                <c:pt idx="82">
                  <c:v>6.72</c:v>
                </c:pt>
                <c:pt idx="83">
                  <c:v>6.8</c:v>
                </c:pt>
                <c:pt idx="84">
                  <c:v>6.88</c:v>
                </c:pt>
                <c:pt idx="85">
                  <c:v>6.96</c:v>
                </c:pt>
                <c:pt idx="86">
                  <c:v>7.04</c:v>
                </c:pt>
                <c:pt idx="87">
                  <c:v>7.12</c:v>
                </c:pt>
                <c:pt idx="88">
                  <c:v>7.2</c:v>
                </c:pt>
                <c:pt idx="89">
                  <c:v>7.28</c:v>
                </c:pt>
                <c:pt idx="90">
                  <c:v>7.36</c:v>
                </c:pt>
                <c:pt idx="91">
                  <c:v>7.44</c:v>
                </c:pt>
                <c:pt idx="92">
                  <c:v>7.5200000000000005</c:v>
                </c:pt>
                <c:pt idx="93">
                  <c:v>7.6000000000000005</c:v>
                </c:pt>
                <c:pt idx="94">
                  <c:v>7.68</c:v>
                </c:pt>
                <c:pt idx="95">
                  <c:v>7.76</c:v>
                </c:pt>
                <c:pt idx="96">
                  <c:v>7.84</c:v>
                </c:pt>
                <c:pt idx="97">
                  <c:v>7.92</c:v>
                </c:pt>
                <c:pt idx="98">
                  <c:v>8</c:v>
                </c:pt>
                <c:pt idx="99">
                  <c:v>8.08</c:v>
                </c:pt>
                <c:pt idx="100">
                  <c:v>8.16</c:v>
                </c:pt>
                <c:pt idx="101">
                  <c:v>8.24</c:v>
                </c:pt>
                <c:pt idx="102">
                  <c:v>8.32</c:v>
                </c:pt>
                <c:pt idx="103">
                  <c:v>8.4</c:v>
                </c:pt>
                <c:pt idx="104">
                  <c:v>8.48</c:v>
                </c:pt>
                <c:pt idx="105">
                  <c:v>8.56</c:v>
                </c:pt>
                <c:pt idx="106">
                  <c:v>8.64</c:v>
                </c:pt>
                <c:pt idx="107">
                  <c:v>8.7200000000000006</c:v>
                </c:pt>
                <c:pt idx="108">
                  <c:v>8.8000000000000007</c:v>
                </c:pt>
                <c:pt idx="109">
                  <c:v>8.8800000000000008</c:v>
                </c:pt>
                <c:pt idx="110">
                  <c:v>8.9600000000000009</c:v>
                </c:pt>
                <c:pt idx="111">
                  <c:v>9.0400000000000009</c:v>
                </c:pt>
                <c:pt idx="112">
                  <c:v>9.120000000000001</c:v>
                </c:pt>
                <c:pt idx="113">
                  <c:v>9.2000000000000011</c:v>
                </c:pt>
                <c:pt idx="114">
                  <c:v>9.2799999999999994</c:v>
                </c:pt>
                <c:pt idx="115">
                  <c:v>9.36</c:v>
                </c:pt>
                <c:pt idx="116">
                  <c:v>9.44</c:v>
                </c:pt>
                <c:pt idx="117">
                  <c:v>9.52</c:v>
                </c:pt>
                <c:pt idx="118">
                  <c:v>9.6</c:v>
                </c:pt>
                <c:pt idx="119">
                  <c:v>9.68</c:v>
                </c:pt>
                <c:pt idx="120">
                  <c:v>9.76</c:v>
                </c:pt>
                <c:pt idx="121">
                  <c:v>9.84</c:v>
                </c:pt>
                <c:pt idx="122">
                  <c:v>9.92</c:v>
                </c:pt>
                <c:pt idx="123">
                  <c:v>10</c:v>
                </c:pt>
              </c:numCache>
            </c:numRef>
          </c:xVal>
          <c:yVal>
            <c:numRef>
              <c:f>criticalhours!$O$15:$O$138</c:f>
              <c:numCache>
                <c:formatCode>0.0</c:formatCode>
                <c:ptCount val="124"/>
                <c:pt idx="0">
                  <c:v>30.309165943626631</c:v>
                </c:pt>
                <c:pt idx="1">
                  <c:v>30.600687678456083</c:v>
                </c:pt>
                <c:pt idx="2">
                  <c:v>30.84568839728173</c:v>
                </c:pt>
                <c:pt idx="3">
                  <c:v>31.060962161894405</c:v>
                </c:pt>
                <c:pt idx="4">
                  <c:v>31.255121730917875</c:v>
                </c:pt>
                <c:pt idx="5">
                  <c:v>31.433283327043302</c:v>
                </c:pt>
                <c:pt idx="6">
                  <c:v>31.598780354897901</c:v>
                </c:pt>
                <c:pt idx="7">
                  <c:v>31.753928137884873</c:v>
                </c:pt>
                <c:pt idx="8">
                  <c:v>31.900412400000505</c:v>
                </c:pt>
                <c:pt idx="9">
                  <c:v>32.039505689876663</c:v>
                </c:pt>
                <c:pt idx="10">
                  <c:v>32.172196622653274</c:v>
                </c:pt>
                <c:pt idx="11">
                  <c:v>32.299271369363019</c:v>
                </c:pt>
                <c:pt idx="12">
                  <c:v>32.421367336075036</c:v>
                </c:pt>
                <c:pt idx="13">
                  <c:v>32.5390098216428</c:v>
                </c:pt>
                <c:pt idx="14">
                  <c:v>32.652637819888</c:v>
                </c:pt>
                <c:pt idx="15">
                  <c:v>32.762622654397106</c:v>
                </c:pt>
                <c:pt idx="16">
                  <c:v>32.869281738802151</c:v>
                </c:pt>
                <c:pt idx="17">
                  <c:v>32.972888935901921</c:v>
                </c:pt>
                <c:pt idx="18">
                  <c:v>33.073682489929624</c:v>
                </c:pt>
                <c:pt idx="19">
                  <c:v>33.171871192661996</c:v>
                </c:pt>
                <c:pt idx="20">
                  <c:v>33.267639241461183</c:v>
                </c:pt>
                <c:pt idx="21">
                  <c:v>33.361150113213931</c:v>
                </c:pt>
                <c:pt idx="22">
                  <c:v>33.452549687373903</c:v>
                </c:pt>
                <c:pt idx="23">
                  <c:v>33.541968788687342</c:v>
                </c:pt>
                <c:pt idx="24">
                  <c:v>33.629525276194933</c:v>
                </c:pt>
                <c:pt idx="25">
                  <c:v>33.715325773703476</c:v>
                </c:pt>
                <c:pt idx="26">
                  <c:v>33.799467114185447</c:v>
                </c:pt>
                <c:pt idx="27">
                  <c:v>33.882037553864571</c:v>
                </c:pt>
                <c:pt idx="28">
                  <c:v>33.963117799343834</c:v>
                </c:pt>
                <c:pt idx="29">
                  <c:v>34.042781881802163</c:v>
                </c:pt>
                <c:pt idx="30">
                  <c:v>34.121097905201125</c:v>
                </c:pt>
                <c:pt idx="31">
                  <c:v>34.198128690009241</c:v>
                </c:pt>
                <c:pt idx="32">
                  <c:v>34.273932329739878</c:v>
                </c:pt>
                <c:pt idx="33">
                  <c:v>34.348562674315438</c:v>
                </c:pt>
                <c:pt idx="34">
                  <c:v>34.422069751684106</c:v>
                </c:pt>
                <c:pt idx="35">
                  <c:v>34.49450013706376</c:v>
                </c:pt>
                <c:pt idx="36">
                  <c:v>34.565897277551954</c:v>
                </c:pt>
                <c:pt idx="37">
                  <c:v>34.63630177852356</c:v>
                </c:pt>
                <c:pt idx="38">
                  <c:v>34.705751657174496</c:v>
                </c:pt>
                <c:pt idx="39">
                  <c:v>34.77428256770348</c:v>
                </c:pt>
                <c:pt idx="40">
                  <c:v>34.84192800191547</c:v>
                </c:pt>
                <c:pt idx="41">
                  <c:v>34.908719468448162</c:v>
                </c:pt>
                <c:pt idx="42">
                  <c:v>34.974686653341379</c:v>
                </c:pt>
                <c:pt idx="43">
                  <c:v>35.039857564269973</c:v>
                </c:pt>
                <c:pt idx="44">
                  <c:v>35.104258660425863</c:v>
                </c:pt>
                <c:pt idx="45">
                  <c:v>35.167914969757987</c:v>
                </c:pt>
                <c:pt idx="46">
                  <c:v>35.230850195041121</c:v>
                </c:pt>
                <c:pt idx="47">
                  <c:v>35.293086810048351</c:v>
                </c:pt>
                <c:pt idx="48">
                  <c:v>35.354646146932538</c:v>
                </c:pt>
                <c:pt idx="49">
                  <c:v>35.415548475779666</c:v>
                </c:pt>
                <c:pt idx="50">
                  <c:v>35.475813077173875</c:v>
                </c:pt>
                <c:pt idx="51">
                  <c:v>35.535458308510847</c:v>
                </c:pt>
                <c:pt idx="52">
                  <c:v>35.594501664705199</c:v>
                </c:pt>
                <c:pt idx="53">
                  <c:v>35.652959833860145</c:v>
                </c:pt>
                <c:pt idx="54">
                  <c:v>35.71084874840173</c:v>
                </c:pt>
                <c:pt idx="55">
                  <c:v>35.76818363212039</c:v>
                </c:pt>
                <c:pt idx="56">
                  <c:v>35.824979043514546</c:v>
                </c:pt>
                <c:pt idx="57">
                  <c:v>35.881248915783729</c:v>
                </c:pt>
                <c:pt idx="58">
                  <c:v>35.93700659378387</c:v>
                </c:pt>
                <c:pt idx="59">
                  <c:v>35.992264868221298</c:v>
                </c:pt>
                <c:pt idx="60">
                  <c:v>36.04703600733383</c:v>
                </c:pt>
                <c:pt idx="61">
                  <c:v>36.10133178628115</c:v>
                </c:pt>
                <c:pt idx="62">
                  <c:v>36.155163514443011</c:v>
                </c:pt>
                <c:pt idx="63">
                  <c:v>36.20854206080557</c:v>
                </c:pt>
                <c:pt idx="64">
                  <c:v>36.261477877595894</c:v>
                </c:pt>
                <c:pt idx="65">
                  <c:v>36.313981022310962</c:v>
                </c:pt>
                <c:pt idx="66">
                  <c:v>36.366061178272062</c:v>
                </c:pt>
                <c:pt idx="67">
                  <c:v>36.417727673823357</c:v>
                </c:pt>
                <c:pt idx="68">
                  <c:v>36.468989500283023</c:v>
                </c:pt>
                <c:pt idx="69">
                  <c:v>36.519855328743603</c:v>
                </c:pt>
                <c:pt idx="70">
                  <c:v>36.570333525811279</c:v>
                </c:pt>
                <c:pt idx="71">
                  <c:v>36.620432168364353</c:v>
                </c:pt>
                <c:pt idx="72">
                  <c:v>36.670159057405236</c:v>
                </c:pt>
                <c:pt idx="73">
                  <c:v>36.719521731071836</c:v>
                </c:pt>
                <c:pt idx="74">
                  <c:v>36.768527476871483</c:v>
                </c:pt>
                <c:pt idx="75">
                  <c:v>36.817183343192113</c:v>
                </c:pt>
                <c:pt idx="76">
                  <c:v>36.865496150142725</c:v>
                </c:pt>
                <c:pt idx="77">
                  <c:v>36.913472499770336</c:v>
                </c:pt>
                <c:pt idx="78">
                  <c:v>36.96111878569657</c:v>
                </c:pt>
                <c:pt idx="79">
                  <c:v>37.008441202213369</c:v>
                </c:pt>
                <c:pt idx="80">
                  <c:v>37.055445752875571</c:v>
                </c:pt>
                <c:pt idx="81">
                  <c:v>37.102138258622034</c:v>
                </c:pt>
                <c:pt idx="82">
                  <c:v>37.148524365458606</c:v>
                </c:pt>
                <c:pt idx="83">
                  <c:v>37.194609551730011</c:v>
                </c:pt>
                <c:pt idx="84">
                  <c:v>37.240399135007912</c:v>
                </c:pt>
                <c:pt idx="85">
                  <c:v>37.285898278619406</c:v>
                </c:pt>
                <c:pt idx="86">
                  <c:v>37.331111997838626</c:v>
                </c:pt>
                <c:pt idx="87">
                  <c:v>37.376045165762363</c:v>
                </c:pt>
                <c:pt idx="88">
                  <c:v>37.420702518889691</c:v>
                </c:pt>
                <c:pt idx="89">
                  <c:v>37.465088662422822</c:v>
                </c:pt>
                <c:pt idx="90">
                  <c:v>37.509208075306347</c:v>
                </c:pt>
                <c:pt idx="91">
                  <c:v>37.553065115021084</c:v>
                </c:pt>
                <c:pt idx="92">
                  <c:v>37.596664022145923</c:v>
                </c:pt>
                <c:pt idx="93">
                  <c:v>37.640008924701874</c:v>
                </c:pt>
                <c:pt idx="94">
                  <c:v>37.683103842290933</c:v>
                </c:pt>
                <c:pt idx="95">
                  <c:v>37.725952690041048</c:v>
                </c:pt>
                <c:pt idx="96">
                  <c:v>37.768559282368692</c:v>
                </c:pt>
                <c:pt idx="97">
                  <c:v>37.810927336568824</c:v>
                </c:pt>
                <c:pt idx="98">
                  <c:v>37.853060476241964</c:v>
                </c:pt>
                <c:pt idx="99">
                  <c:v>37.894962234567458</c:v>
                </c:pt>
                <c:pt idx="100">
                  <c:v>37.936636057431024</c:v>
                </c:pt>
                <c:pt idx="101">
                  <c:v>37.978085306414698</c:v>
                </c:pt>
                <c:pt idx="102">
                  <c:v>38.019313261656052</c:v>
                </c:pt>
                <c:pt idx="103">
                  <c:v>38.060323124584514</c:v>
                </c:pt>
                <c:pt idx="104">
                  <c:v>38.101118020539857</c:v>
                </c:pt>
                <c:pt idx="105">
                  <c:v>38.141701001280225</c:v>
                </c:pt>
                <c:pt idx="106">
                  <c:v>38.182075047384764</c:v>
                </c:pt>
                <c:pt idx="107">
                  <c:v>38.22224307055599</c:v>
                </c:pt>
                <c:pt idx="108">
                  <c:v>38.262207915827666</c:v>
                </c:pt>
                <c:pt idx="109">
                  <c:v>38.301972363682196</c:v>
                </c:pt>
                <c:pt idx="110">
                  <c:v>38.341539132082339</c:v>
                </c:pt>
                <c:pt idx="111">
                  <c:v>38.380910878421602</c:v>
                </c:pt>
                <c:pt idx="112">
                  <c:v>38.420090201396782</c:v>
                </c:pt>
                <c:pt idx="113">
                  <c:v>38.459079642806785</c:v>
                </c:pt>
                <c:pt idx="114">
                  <c:v>38.497881689281449</c:v>
                </c:pt>
                <c:pt idx="115">
                  <c:v>38.536498773942753</c:v>
                </c:pt>
                <c:pt idx="116">
                  <c:v>38.574933278002874</c:v>
                </c:pt>
                <c:pt idx="117">
                  <c:v>38.61318753230092</c:v>
                </c:pt>
                <c:pt idx="118">
                  <c:v>38.651263818781906</c:v>
                </c:pt>
                <c:pt idx="119">
                  <c:v>38.689164371920064</c:v>
                </c:pt>
                <c:pt idx="120">
                  <c:v>38.726891380089583</c:v>
                </c:pt>
                <c:pt idx="121">
                  <c:v>38.764446986884614</c:v>
                </c:pt>
                <c:pt idx="122">
                  <c:v>38.80183329239108</c:v>
                </c:pt>
                <c:pt idx="123">
                  <c:v>38.839052354412551</c:v>
                </c:pt>
              </c:numCache>
            </c:numRef>
          </c:yVal>
          <c:smooth val="0"/>
        </c:ser>
        <c:ser>
          <c:idx val="3"/>
          <c:order val="1"/>
          <c:tx>
            <c:strRef>
              <c:f>criticalhours!$AQ$141</c:f>
              <c:strCache>
                <c:ptCount val="1"/>
                <c:pt idx="0">
                  <c:v>ESI worker with foregone subsidy (80% valuation)</c:v>
                </c:pt>
              </c:strCache>
            </c:strRef>
          </c:tx>
          <c:spPr>
            <a:ln>
              <a:noFill/>
            </a:ln>
          </c:spPr>
          <c:marker>
            <c:symbol val="square"/>
            <c:size val="10"/>
            <c:spPr>
              <a:solidFill>
                <a:srgbClr val="FF0000"/>
              </a:solidFill>
              <a:ln>
                <a:solidFill>
                  <a:srgbClr val="FF0000"/>
                </a:solidFill>
              </a:ln>
            </c:spPr>
          </c:marker>
          <c:xVal>
            <c:numRef>
              <c:f>criticalhours!$B$141</c:f>
              <c:numCache>
                <c:formatCode>0.00</c:formatCode>
                <c:ptCount val="1"/>
                <c:pt idx="0">
                  <c:v>6.4000000032026785</c:v>
                </c:pt>
              </c:numCache>
            </c:numRef>
          </c:xVal>
          <c:yVal>
            <c:numRef>
              <c:f>criticalhours!$AB$141</c:f>
              <c:numCache>
                <c:formatCode>0.0</c:formatCode>
                <c:ptCount val="1"/>
                <c:pt idx="0">
                  <c:v>36.928634073603213</c:v>
                </c:pt>
              </c:numCache>
            </c:numRef>
          </c:yVal>
          <c:smooth val="0"/>
        </c:ser>
        <c:ser>
          <c:idx val="2"/>
          <c:order val="2"/>
          <c:tx>
            <c:strRef>
              <c:f>criticalhours!$AQ$140</c:f>
              <c:strCache>
                <c:ptCount val="1"/>
                <c:pt idx="0">
                  <c:v>Penalty, but no subsidy</c:v>
                </c:pt>
              </c:strCache>
            </c:strRef>
          </c:tx>
          <c:spPr>
            <a:ln>
              <a:noFill/>
            </a:ln>
          </c:spPr>
          <c:marker>
            <c:symbol val="circle"/>
            <c:size val="10"/>
            <c:spPr>
              <a:solidFill>
                <a:schemeClr val="tx1"/>
              </a:solidFill>
              <a:ln>
                <a:solidFill>
                  <a:schemeClr val="tx1"/>
                </a:solidFill>
              </a:ln>
            </c:spPr>
          </c:marker>
          <c:xVal>
            <c:numRef>
              <c:f>criticalhours!$B$140</c:f>
              <c:numCache>
                <c:formatCode>0.00</c:formatCode>
                <c:ptCount val="1"/>
                <c:pt idx="0">
                  <c:v>4.2</c:v>
                </c:pt>
              </c:numCache>
            </c:numRef>
          </c:xVal>
          <c:yVal>
            <c:numRef>
              <c:f>criticalhours!$O$140</c:f>
              <c:numCache>
                <c:formatCode>0.0</c:formatCode>
                <c:ptCount val="1"/>
                <c:pt idx="0">
                  <c:v>35.505712001128607</c:v>
                </c:pt>
              </c:numCache>
            </c:numRef>
          </c:yVal>
          <c:smooth val="0"/>
        </c:ser>
        <c:ser>
          <c:idx val="4"/>
          <c:order val="3"/>
          <c:tx>
            <c:strRef>
              <c:f>criticalhours!$AQ$142</c:f>
              <c:strCache>
                <c:ptCount val="1"/>
                <c:pt idx="0">
                  <c:v>Penalty and subsidy</c:v>
                </c:pt>
              </c:strCache>
            </c:strRef>
          </c:tx>
          <c:spPr>
            <a:ln>
              <a:noFill/>
            </a:ln>
          </c:spPr>
          <c:marker>
            <c:symbol val="triangle"/>
            <c:size val="10"/>
            <c:spPr>
              <a:solidFill>
                <a:schemeClr val="tx1"/>
              </a:solidFill>
              <a:ln>
                <a:solidFill>
                  <a:schemeClr val="tx1"/>
                </a:solidFill>
              </a:ln>
            </c:spPr>
          </c:marker>
          <c:xVal>
            <c:numRef>
              <c:f>criticalhours!$B$140</c:f>
              <c:numCache>
                <c:formatCode>0.00</c:formatCode>
                <c:ptCount val="1"/>
                <c:pt idx="0">
                  <c:v>4.2</c:v>
                </c:pt>
              </c:numCache>
            </c:numRef>
          </c:xVal>
          <c:yVal>
            <c:numRef>
              <c:f>criticalhours!$AO$140</c:f>
              <c:numCache>
                <c:formatCode>0.0</c:formatCode>
                <c:ptCount val="1"/>
                <c:pt idx="0">
                  <c:v>34.670371780393808</c:v>
                </c:pt>
              </c:numCache>
            </c:numRef>
          </c:yVal>
          <c:smooth val="0"/>
        </c:ser>
        <c:ser>
          <c:idx val="1"/>
          <c:order val="4"/>
          <c:tx>
            <c:strRef>
              <c:f>criticalhours!$AD$10</c:f>
              <c:strCache>
                <c:ptCount val="1"/>
                <c:pt idx="0">
                  <c:v>tau = 23%</c:v>
                </c:pt>
              </c:strCache>
            </c:strRef>
          </c:tx>
          <c:spPr>
            <a:ln w="38100">
              <a:solidFill>
                <a:srgbClr val="008000"/>
              </a:solidFill>
            </a:ln>
          </c:spPr>
          <c:marker>
            <c:symbol val="none"/>
          </c:marker>
          <c:xVal>
            <c:numRef>
              <c:f>criticalhours!$B$15:$B$138</c:f>
              <c:numCache>
                <c:formatCode>General</c:formatCode>
                <c:ptCount val="124"/>
                <c:pt idx="0">
                  <c:v>0.16</c:v>
                </c:pt>
                <c:pt idx="1">
                  <c:v>0.24</c:v>
                </c:pt>
                <c:pt idx="2">
                  <c:v>0.32</c:v>
                </c:pt>
                <c:pt idx="3">
                  <c:v>0.4</c:v>
                </c:pt>
                <c:pt idx="4">
                  <c:v>0.48</c:v>
                </c:pt>
                <c:pt idx="5">
                  <c:v>0.56000000000000005</c:v>
                </c:pt>
                <c:pt idx="6">
                  <c:v>0.64</c:v>
                </c:pt>
                <c:pt idx="7">
                  <c:v>0.72</c:v>
                </c:pt>
                <c:pt idx="8">
                  <c:v>0.8</c:v>
                </c:pt>
                <c:pt idx="9">
                  <c:v>0.88</c:v>
                </c:pt>
                <c:pt idx="10">
                  <c:v>0.96</c:v>
                </c:pt>
                <c:pt idx="11">
                  <c:v>1.04</c:v>
                </c:pt>
                <c:pt idx="12">
                  <c:v>1.1200000000000001</c:v>
                </c:pt>
                <c:pt idx="13">
                  <c:v>1.2</c:v>
                </c:pt>
                <c:pt idx="14">
                  <c:v>1.28</c:v>
                </c:pt>
                <c:pt idx="15">
                  <c:v>1.36</c:v>
                </c:pt>
                <c:pt idx="16">
                  <c:v>1.44</c:v>
                </c:pt>
                <c:pt idx="17">
                  <c:v>1.52</c:v>
                </c:pt>
                <c:pt idx="18">
                  <c:v>1.6</c:v>
                </c:pt>
                <c:pt idx="19">
                  <c:v>1.68</c:v>
                </c:pt>
                <c:pt idx="20">
                  <c:v>1.76</c:v>
                </c:pt>
                <c:pt idx="21">
                  <c:v>1.84</c:v>
                </c:pt>
                <c:pt idx="22">
                  <c:v>1.92</c:v>
                </c:pt>
                <c:pt idx="23">
                  <c:v>2</c:v>
                </c:pt>
                <c:pt idx="24">
                  <c:v>2.08</c:v>
                </c:pt>
                <c:pt idx="25">
                  <c:v>2.16</c:v>
                </c:pt>
                <c:pt idx="26">
                  <c:v>2.2400000000000002</c:v>
                </c:pt>
                <c:pt idx="27">
                  <c:v>2.3199999999999998</c:v>
                </c:pt>
                <c:pt idx="28">
                  <c:v>2.4</c:v>
                </c:pt>
                <c:pt idx="29">
                  <c:v>2.48</c:v>
                </c:pt>
                <c:pt idx="30">
                  <c:v>2.56</c:v>
                </c:pt>
                <c:pt idx="31">
                  <c:v>2.64</c:v>
                </c:pt>
                <c:pt idx="32">
                  <c:v>2.72</c:v>
                </c:pt>
                <c:pt idx="33">
                  <c:v>2.8000000000000003</c:v>
                </c:pt>
                <c:pt idx="34">
                  <c:v>2.88</c:v>
                </c:pt>
                <c:pt idx="35">
                  <c:v>2.96</c:v>
                </c:pt>
                <c:pt idx="36">
                  <c:v>3.04</c:v>
                </c:pt>
                <c:pt idx="37">
                  <c:v>3.12</c:v>
                </c:pt>
                <c:pt idx="38">
                  <c:v>3.2</c:v>
                </c:pt>
                <c:pt idx="39">
                  <c:v>3.2800000000000002</c:v>
                </c:pt>
                <c:pt idx="40">
                  <c:v>3.36</c:v>
                </c:pt>
                <c:pt idx="41">
                  <c:v>3.44</c:v>
                </c:pt>
                <c:pt idx="42">
                  <c:v>3.52</c:v>
                </c:pt>
                <c:pt idx="43">
                  <c:v>3.6</c:v>
                </c:pt>
                <c:pt idx="44">
                  <c:v>3.68</c:v>
                </c:pt>
                <c:pt idx="45">
                  <c:v>3.7600000000000002</c:v>
                </c:pt>
                <c:pt idx="46">
                  <c:v>3.84</c:v>
                </c:pt>
                <c:pt idx="47">
                  <c:v>3.92</c:v>
                </c:pt>
                <c:pt idx="48">
                  <c:v>4</c:v>
                </c:pt>
                <c:pt idx="49">
                  <c:v>4.08</c:v>
                </c:pt>
                <c:pt idx="50">
                  <c:v>4.16</c:v>
                </c:pt>
                <c:pt idx="51">
                  <c:v>4.24</c:v>
                </c:pt>
                <c:pt idx="52">
                  <c:v>4.32</c:v>
                </c:pt>
                <c:pt idx="53">
                  <c:v>4.4000000000000004</c:v>
                </c:pt>
                <c:pt idx="54">
                  <c:v>4.4800000000000004</c:v>
                </c:pt>
                <c:pt idx="55">
                  <c:v>4.5600000000000005</c:v>
                </c:pt>
                <c:pt idx="56">
                  <c:v>4.6399999999999997</c:v>
                </c:pt>
                <c:pt idx="57">
                  <c:v>4.72</c:v>
                </c:pt>
                <c:pt idx="58">
                  <c:v>4.8</c:v>
                </c:pt>
                <c:pt idx="59">
                  <c:v>4.88</c:v>
                </c:pt>
                <c:pt idx="60">
                  <c:v>4.96</c:v>
                </c:pt>
                <c:pt idx="61">
                  <c:v>5.04</c:v>
                </c:pt>
                <c:pt idx="62">
                  <c:v>5.12</c:v>
                </c:pt>
                <c:pt idx="63">
                  <c:v>5.2</c:v>
                </c:pt>
                <c:pt idx="64">
                  <c:v>5.28</c:v>
                </c:pt>
                <c:pt idx="65">
                  <c:v>5.36</c:v>
                </c:pt>
                <c:pt idx="66">
                  <c:v>5.44</c:v>
                </c:pt>
                <c:pt idx="67">
                  <c:v>5.5200000000000005</c:v>
                </c:pt>
                <c:pt idx="68">
                  <c:v>5.6000000000000005</c:v>
                </c:pt>
                <c:pt idx="69">
                  <c:v>5.68</c:v>
                </c:pt>
                <c:pt idx="70">
                  <c:v>5.76</c:v>
                </c:pt>
                <c:pt idx="71">
                  <c:v>5.84</c:v>
                </c:pt>
                <c:pt idx="72">
                  <c:v>5.92</c:v>
                </c:pt>
                <c:pt idx="73">
                  <c:v>6</c:v>
                </c:pt>
                <c:pt idx="74">
                  <c:v>6.08</c:v>
                </c:pt>
                <c:pt idx="75">
                  <c:v>6.16</c:v>
                </c:pt>
                <c:pt idx="76">
                  <c:v>6.24</c:v>
                </c:pt>
                <c:pt idx="77">
                  <c:v>6.32</c:v>
                </c:pt>
                <c:pt idx="78">
                  <c:v>6.4</c:v>
                </c:pt>
                <c:pt idx="79">
                  <c:v>6.48</c:v>
                </c:pt>
                <c:pt idx="80">
                  <c:v>6.5600000000000005</c:v>
                </c:pt>
                <c:pt idx="81">
                  <c:v>6.6400000000000006</c:v>
                </c:pt>
                <c:pt idx="82">
                  <c:v>6.72</c:v>
                </c:pt>
                <c:pt idx="83">
                  <c:v>6.8</c:v>
                </c:pt>
                <c:pt idx="84">
                  <c:v>6.88</c:v>
                </c:pt>
                <c:pt idx="85">
                  <c:v>6.96</c:v>
                </c:pt>
                <c:pt idx="86">
                  <c:v>7.04</c:v>
                </c:pt>
                <c:pt idx="87">
                  <c:v>7.12</c:v>
                </c:pt>
                <c:pt idx="88">
                  <c:v>7.2</c:v>
                </c:pt>
                <c:pt idx="89">
                  <c:v>7.28</c:v>
                </c:pt>
                <c:pt idx="90">
                  <c:v>7.36</c:v>
                </c:pt>
                <c:pt idx="91">
                  <c:v>7.44</c:v>
                </c:pt>
                <c:pt idx="92">
                  <c:v>7.5200000000000005</c:v>
                </c:pt>
                <c:pt idx="93">
                  <c:v>7.6000000000000005</c:v>
                </c:pt>
                <c:pt idx="94">
                  <c:v>7.68</c:v>
                </c:pt>
                <c:pt idx="95">
                  <c:v>7.76</c:v>
                </c:pt>
                <c:pt idx="96">
                  <c:v>7.84</c:v>
                </c:pt>
                <c:pt idx="97">
                  <c:v>7.92</c:v>
                </c:pt>
                <c:pt idx="98">
                  <c:v>8</c:v>
                </c:pt>
                <c:pt idx="99">
                  <c:v>8.08</c:v>
                </c:pt>
                <c:pt idx="100">
                  <c:v>8.16</c:v>
                </c:pt>
                <c:pt idx="101">
                  <c:v>8.24</c:v>
                </c:pt>
                <c:pt idx="102">
                  <c:v>8.32</c:v>
                </c:pt>
                <c:pt idx="103">
                  <c:v>8.4</c:v>
                </c:pt>
                <c:pt idx="104">
                  <c:v>8.48</c:v>
                </c:pt>
                <c:pt idx="105">
                  <c:v>8.56</c:v>
                </c:pt>
                <c:pt idx="106">
                  <c:v>8.64</c:v>
                </c:pt>
                <c:pt idx="107">
                  <c:v>8.7200000000000006</c:v>
                </c:pt>
                <c:pt idx="108">
                  <c:v>8.8000000000000007</c:v>
                </c:pt>
                <c:pt idx="109">
                  <c:v>8.8800000000000008</c:v>
                </c:pt>
                <c:pt idx="110">
                  <c:v>8.9600000000000009</c:v>
                </c:pt>
                <c:pt idx="111">
                  <c:v>9.0400000000000009</c:v>
                </c:pt>
                <c:pt idx="112">
                  <c:v>9.120000000000001</c:v>
                </c:pt>
                <c:pt idx="113">
                  <c:v>9.2000000000000011</c:v>
                </c:pt>
                <c:pt idx="114">
                  <c:v>9.2799999999999994</c:v>
                </c:pt>
                <c:pt idx="115">
                  <c:v>9.36</c:v>
                </c:pt>
                <c:pt idx="116">
                  <c:v>9.44</c:v>
                </c:pt>
                <c:pt idx="117">
                  <c:v>9.52</c:v>
                </c:pt>
                <c:pt idx="118">
                  <c:v>9.6</c:v>
                </c:pt>
                <c:pt idx="119">
                  <c:v>9.68</c:v>
                </c:pt>
                <c:pt idx="120">
                  <c:v>9.76</c:v>
                </c:pt>
                <c:pt idx="121">
                  <c:v>9.84</c:v>
                </c:pt>
                <c:pt idx="122">
                  <c:v>9.92</c:v>
                </c:pt>
                <c:pt idx="123">
                  <c:v>10</c:v>
                </c:pt>
              </c:numCache>
            </c:numRef>
          </c:xVal>
          <c:yVal>
            <c:numRef>
              <c:f>criticalhours!$AO$15:$AO$138</c:f>
              <c:numCache>
                <c:formatCode>0.0</c:formatCode>
                <c:ptCount val="124"/>
                <c:pt idx="0">
                  <c:v>30.327623209519125</c:v>
                </c:pt>
                <c:pt idx="1">
                  <c:v>30.570074831445663</c:v>
                </c:pt>
                <c:pt idx="2">
                  <c:v>30.773943456394253</c:v>
                </c:pt>
                <c:pt idx="3">
                  <c:v>30.953156875467254</c:v>
                </c:pt>
                <c:pt idx="4">
                  <c:v>31.114857960528767</c:v>
                </c:pt>
                <c:pt idx="5">
                  <c:v>31.263289819098219</c:v>
                </c:pt>
                <c:pt idx="6">
                  <c:v>31.40121701489835</c:v>
                </c:pt>
                <c:pt idx="7">
                  <c:v>31.530559782038278</c:v>
                </c:pt>
                <c:pt idx="8">
                  <c:v>31.652716203395343</c:v>
                </c:pt>
                <c:pt idx="9">
                  <c:v>31.768741697594518</c:v>
                </c:pt>
                <c:pt idx="10">
                  <c:v>31.879456203615685</c:v>
                </c:pt>
                <c:pt idx="11">
                  <c:v>31.985511762931857</c:v>
                </c:pt>
                <c:pt idx="12">
                  <c:v>32.087437037769355</c:v>
                </c:pt>
                <c:pt idx="13">
                  <c:v>32.185667712960587</c:v>
                </c:pt>
                <c:pt idx="14">
                  <c:v>32.280567894892947</c:v>
                </c:pt>
                <c:pt idx="15">
                  <c:v>32.372445566269981</c:v>
                </c:pt>
                <c:pt idx="16">
                  <c:v>32.461563998237892</c:v>
                </c:pt>
                <c:pt idx="17">
                  <c:v>32.548150341785139</c:v>
                </c:pt>
                <c:pt idx="18">
                  <c:v>32.632402206440709</c:v>
                </c:pt>
                <c:pt idx="19">
                  <c:v>32.7144927742129</c:v>
                </c:pt>
                <c:pt idx="20">
                  <c:v>32.794574828682208</c:v>
                </c:pt>
                <c:pt idx="21">
                  <c:v>32.872783967924768</c:v>
                </c:pt>
                <c:pt idx="22">
                  <c:v>32.949241194676489</c:v>
                </c:pt>
                <c:pt idx="23">
                  <c:v>33.024055025206792</c:v>
                </c:pt>
                <c:pt idx="24">
                  <c:v>33.09732322189069</c:v>
                </c:pt>
                <c:pt idx="25">
                  <c:v>33.169134228431055</c:v>
                </c:pt>
                <c:pt idx="26">
                  <c:v>33.239568367821242</c:v>
                </c:pt>
                <c:pt idx="27">
                  <c:v>33.308698849292931</c:v>
                </c:pt>
                <c:pt idx="28">
                  <c:v>33.376592620207404</c:v>
                </c:pt>
                <c:pt idx="29">
                  <c:v>33.443311091108868</c:v>
                </c:pt>
                <c:pt idx="30">
                  <c:v>33.508910756286355</c:v>
                </c:pt>
                <c:pt idx="31">
                  <c:v>33.573443727678573</c:v>
                </c:pt>
                <c:pt idx="32">
                  <c:v>33.63695819646879</c:v>
                </c:pt>
                <c:pt idx="33">
                  <c:v>33.699498833991925</c:v>
                </c:pt>
                <c:pt idx="34">
                  <c:v>33.761107141427694</c:v>
                </c:pt>
                <c:pt idx="35">
                  <c:v>33.821821756057489</c:v>
                </c:pt>
                <c:pt idx="36">
                  <c:v>33.881678720502457</c:v>
                </c:pt>
                <c:pt idx="37">
                  <c:v>33.940711720268389</c:v>
                </c:pt>
                <c:pt idx="38">
                  <c:v>33.998952294042532</c:v>
                </c:pt>
                <c:pt idx="39">
                  <c:v>34.056430020466536</c:v>
                </c:pt>
                <c:pt idx="40">
                  <c:v>34.113172684525011</c:v>
                </c:pt>
                <c:pt idx="41">
                  <c:v>34.169206426203992</c:v>
                </c:pt>
                <c:pt idx="42">
                  <c:v>34.224555873675364</c:v>
                </c:pt>
                <c:pt idx="43">
                  <c:v>34.279244262931712</c:v>
                </c:pt>
                <c:pt idx="44">
                  <c:v>34.333293545518934</c:v>
                </c:pt>
                <c:pt idx="45">
                  <c:v>34.386724485783198</c:v>
                </c:pt>
                <c:pt idx="46">
                  <c:v>34.43955674885278</c:v>
                </c:pt>
                <c:pt idx="47">
                  <c:v>34.49180898041174</c:v>
                </c:pt>
                <c:pt idx="48">
                  <c:v>34.543498879182444</c:v>
                </c:pt>
                <c:pt idx="49">
                  <c:v>34.594643262914744</c:v>
                </c:pt>
                <c:pt idx="50">
                  <c:v>34.645258128579982</c:v>
                </c:pt>
                <c:pt idx="51">
                  <c:v>34.695358707378411</c:v>
                </c:pt>
                <c:pt idx="52">
                  <c:v>34.744959515098131</c:v>
                </c:pt>
                <c:pt idx="53">
                  <c:v>34.794074398294448</c:v>
                </c:pt>
                <c:pt idx="54">
                  <c:v>34.842716576708064</c:v>
                </c:pt>
                <c:pt idx="55">
                  <c:v>34.890898682288345</c:v>
                </c:pt>
                <c:pt idx="56">
                  <c:v>34.938632795148933</c:v>
                </c:pt>
                <c:pt idx="57">
                  <c:v>34.985930476744535</c:v>
                </c:pt>
                <c:pt idx="58">
                  <c:v>35.032802800527961</c:v>
                </c:pt>
                <c:pt idx="59">
                  <c:v>35.079260380316171</c:v>
                </c:pt>
                <c:pt idx="60">
                  <c:v>35.125313396572267</c:v>
                </c:pt>
                <c:pt idx="61">
                  <c:v>35.170971620786887</c:v>
                </c:pt>
                <c:pt idx="62">
                  <c:v>35.216244438124427</c:v>
                </c:pt>
                <c:pt idx="63">
                  <c:v>35.261140868482713</c:v>
                </c:pt>
                <c:pt idx="64">
                  <c:v>35.305669586099725</c:v>
                </c:pt>
                <c:pt idx="65">
                  <c:v>35.349838937828501</c:v>
                </c:pt>
                <c:pt idx="66">
                  <c:v>35.393656960188054</c:v>
                </c:pt>
                <c:pt idx="67">
                  <c:v>35.437131395290358</c:v>
                </c:pt>
                <c:pt idx="68">
                  <c:v>35.480269705731359</c:v>
                </c:pt>
                <c:pt idx="69">
                  <c:v>35.523079088527972</c:v>
                </c:pt>
                <c:pt idx="70">
                  <c:v>35.565566488174404</c:v>
                </c:pt>
                <c:pt idx="71">
                  <c:v>35.607738608884745</c:v>
                </c:pt>
                <c:pt idx="72">
                  <c:v>35.649601926083228</c:v>
                </c:pt>
                <c:pt idx="73">
                  <c:v>35.691162697197548</c:v>
                </c:pt>
                <c:pt idx="74">
                  <c:v>35.732426971806177</c:v>
                </c:pt>
                <c:pt idx="75">
                  <c:v>35.773400601186772</c:v>
                </c:pt>
                <c:pt idx="76">
                  <c:v>35.814089247307862</c:v>
                </c:pt>
                <c:pt idx="77">
                  <c:v>35.854498391302599</c:v>
                </c:pt>
                <c:pt idx="78">
                  <c:v>35.89463334146177</c:v>
                </c:pt>
                <c:pt idx="79">
                  <c:v>35.934499240777377</c:v>
                </c:pt>
                <c:pt idx="80">
                  <c:v>35.974101074068734</c:v>
                </c:pt>
                <c:pt idx="81">
                  <c:v>36.013443674717713</c:v>
                </c:pt>
                <c:pt idx="82">
                  <c:v>36.052531731040119</c:v>
                </c:pt>
                <c:pt idx="83">
                  <c:v>36.091369792315888</c:v>
                </c:pt>
                <c:pt idx="84">
                  <c:v>36.12996227450099</c:v>
                </c:pt>
                <c:pt idx="85">
                  <c:v>36.168313465640885</c:v>
                </c:pt>
                <c:pt idx="86">
                  <c:v>36.206427531004358</c:v>
                </c:pt>
                <c:pt idx="87">
                  <c:v>36.244308517955218</c:v>
                </c:pt>
                <c:pt idx="88">
                  <c:v>36.28196036057831</c:v>
                </c:pt>
                <c:pt idx="89">
                  <c:v>36.319386884074319</c:v>
                </c:pt>
                <c:pt idx="90">
                  <c:v>36.356591808937573</c:v>
                </c:pt>
                <c:pt idx="91">
                  <c:v>36.393578754929912</c:v>
                </c:pt>
                <c:pt idx="92">
                  <c:v>36.430351244862457</c:v>
                </c:pt>
                <c:pt idx="93">
                  <c:v>36.466912708196446</c:v>
                </c:pt>
                <c:pt idx="94">
                  <c:v>36.50326648447377</c:v>
                </c:pt>
                <c:pt idx="95">
                  <c:v>36.539415826587138</c:v>
                </c:pt>
                <c:pt idx="96">
                  <c:v>36.57536390389815</c:v>
                </c:pt>
                <c:pt idx="97">
                  <c:v>36.611113805212895</c:v>
                </c:pt>
                <c:pt idx="98">
                  <c:v>36.646668541622084</c:v>
                </c:pt>
                <c:pt idx="99">
                  <c:v>36.682031049213684</c:v>
                </c:pt>
                <c:pt idx="100">
                  <c:v>36.717204191664536</c:v>
                </c:pt>
                <c:pt idx="101">
                  <c:v>36.752190762718229</c:v>
                </c:pt>
                <c:pt idx="102">
                  <c:v>36.786993488554266</c:v>
                </c:pt>
                <c:pt idx="103">
                  <c:v>36.821615030055156</c:v>
                </c:pt>
                <c:pt idx="104">
                  <c:v>36.856057984976339</c:v>
                </c:pt>
                <c:pt idx="105">
                  <c:v>36.890324890024097</c:v>
                </c:pt>
                <c:pt idx="106">
                  <c:v>36.924418222846008</c:v>
                </c:pt>
                <c:pt idx="107">
                  <c:v>36.958340403938642</c:v>
                </c:pt>
                <c:pt idx="108">
                  <c:v>36.992093798476795</c:v>
                </c:pt>
                <c:pt idx="109">
                  <c:v>37.02568071806737</c:v>
                </c:pt>
                <c:pt idx="110">
                  <c:v>37.059103422432905</c:v>
                </c:pt>
                <c:pt idx="111">
                  <c:v>37.092364121027032</c:v>
                </c:pt>
                <c:pt idx="112">
                  <c:v>37.125464974585761</c:v>
                </c:pt>
                <c:pt idx="113">
                  <c:v>37.158408096617805</c:v>
                </c:pt>
                <c:pt idx="114">
                  <c:v>37.191195554836447</c:v>
                </c:pt>
                <c:pt idx="115">
                  <c:v>37.223829372535818</c:v>
                </c:pt>
                <c:pt idx="116">
                  <c:v>37.25631152991469</c:v>
                </c:pt>
                <c:pt idx="117">
                  <c:v>37.288643965349394</c:v>
                </c:pt>
                <c:pt idx="118">
                  <c:v>37.320828576618943</c:v>
                </c:pt>
                <c:pt idx="119">
                  <c:v>37.352867222084214</c:v>
                </c:pt>
                <c:pt idx="120">
                  <c:v>37.38476172182321</c:v>
                </c:pt>
                <c:pt idx="121">
                  <c:v>37.416513858724706</c:v>
                </c:pt>
                <c:pt idx="122">
                  <c:v>37.44812537954175</c:v>
                </c:pt>
                <c:pt idx="123">
                  <c:v>37.479597995907135</c:v>
                </c:pt>
              </c:numCache>
            </c:numRef>
          </c:yVal>
          <c:smooth val="0"/>
        </c:ser>
        <c:dLbls>
          <c:showLegendKey val="0"/>
          <c:showVal val="0"/>
          <c:showCatName val="0"/>
          <c:showSerName val="0"/>
          <c:showPercent val="0"/>
          <c:showBubbleSize val="0"/>
        </c:dLbls>
        <c:axId val="205845632"/>
        <c:axId val="205847552"/>
      </c:scatterChart>
      <c:valAx>
        <c:axId val="205845632"/>
        <c:scaling>
          <c:orientation val="minMax"/>
          <c:max val="7"/>
        </c:scaling>
        <c:delete val="0"/>
        <c:axPos val="b"/>
        <c:title>
          <c:tx>
            <c:rich>
              <a:bodyPr/>
              <a:lstStyle/>
              <a:p>
                <a:pPr>
                  <a:defRPr sz="1400"/>
                </a:pPr>
                <a:r>
                  <a:rPr lang="en-US" sz="1400"/>
                  <a:t>Weekly penalty</a:t>
                </a:r>
                <a:r>
                  <a:rPr lang="en-US" sz="1400" baseline="0"/>
                  <a:t> (hours equivalent)</a:t>
                </a:r>
                <a:endParaRPr lang="en-US" sz="1400"/>
              </a:p>
            </c:rich>
          </c:tx>
          <c:layout/>
          <c:overlay val="0"/>
        </c:title>
        <c:numFmt formatCode="General" sourceLinked="0"/>
        <c:majorTickMark val="out"/>
        <c:minorTickMark val="none"/>
        <c:tickLblPos val="nextTo"/>
        <c:txPr>
          <a:bodyPr/>
          <a:lstStyle/>
          <a:p>
            <a:pPr>
              <a:defRPr sz="1200"/>
            </a:pPr>
            <a:endParaRPr lang="en-US"/>
          </a:p>
        </c:txPr>
        <c:crossAx val="205847552"/>
        <c:crosses val="autoZero"/>
        <c:crossBetween val="midCat"/>
      </c:valAx>
      <c:valAx>
        <c:axId val="205847552"/>
        <c:scaling>
          <c:orientation val="minMax"/>
          <c:max val="38"/>
          <c:min val="29"/>
        </c:scaling>
        <c:delete val="0"/>
        <c:axPos val="l"/>
        <c:title>
          <c:tx>
            <c:rich>
              <a:bodyPr rot="-5400000" vert="horz"/>
              <a:lstStyle/>
              <a:p>
                <a:pPr>
                  <a:defRPr sz="1400"/>
                </a:pPr>
                <a:r>
                  <a:rPr lang="en-US" sz="1400"/>
                  <a:t>hours per week</a:t>
                </a:r>
              </a:p>
            </c:rich>
          </c:tx>
          <c:layout/>
          <c:overlay val="0"/>
        </c:title>
        <c:numFmt formatCode="General" sourceLinked="0"/>
        <c:majorTickMark val="out"/>
        <c:minorTickMark val="none"/>
        <c:tickLblPos val="nextTo"/>
        <c:txPr>
          <a:bodyPr/>
          <a:lstStyle/>
          <a:p>
            <a:pPr>
              <a:defRPr sz="1200"/>
            </a:pPr>
            <a:endParaRPr lang="en-US"/>
          </a:p>
        </c:txPr>
        <c:crossAx val="205845632"/>
        <c:crosses val="autoZero"/>
        <c:crossBetween val="midCat"/>
      </c:valAx>
    </c:plotArea>
    <c:legend>
      <c:legendPos val="r"/>
      <c:layout>
        <c:manualLayout>
          <c:xMode val="edge"/>
          <c:yMode val="edge"/>
          <c:x val="0.463412869678551"/>
          <c:y val="0.48489158280079803"/>
          <c:w val="0.47966129467982899"/>
          <c:h val="0.20264248089196199"/>
        </c:manualLayout>
      </c:layout>
      <c:overlay val="0"/>
      <c:txPr>
        <a:bodyPr/>
        <a:lstStyle/>
        <a:p>
          <a:pPr>
            <a:defRPr sz="1400"/>
          </a:pPr>
          <a:endParaRPr lang="en-US"/>
        </a:p>
      </c:txPr>
    </c:legend>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HoursCDFs!$A$105</c:f>
          <c:strCache>
            <c:ptCount val="1"/>
            <c:pt idx="0">
              <c:v>Hours CDFs: Entire economy</c:v>
            </c:pt>
          </c:strCache>
        </c:strRef>
      </c:tx>
      <c:layout/>
      <c:overlay val="1"/>
    </c:title>
    <c:autoTitleDeleted val="0"/>
    <c:plotArea>
      <c:layout>
        <c:manualLayout>
          <c:layoutTarget val="inner"/>
          <c:xMode val="edge"/>
          <c:yMode val="edge"/>
          <c:x val="6.9934558180227493E-2"/>
          <c:y val="2.8320725092900002E-2"/>
          <c:w val="0.86997282006415899"/>
          <c:h val="0.87903430958926698"/>
        </c:manualLayout>
      </c:layout>
      <c:scatterChart>
        <c:scatterStyle val="lineMarker"/>
        <c:varyColors val="0"/>
        <c:ser>
          <c:idx val="0"/>
          <c:order val="0"/>
          <c:tx>
            <c:v>w/o ACA</c:v>
          </c:tx>
          <c:spPr>
            <a:ln>
              <a:solidFill>
                <a:srgbClr val="0000FF"/>
              </a:solidFill>
            </a:ln>
          </c:spPr>
          <c:marker>
            <c:symbol val="none"/>
          </c:marker>
          <c:xVal>
            <c:numRef>
              <c:f>HoursCDFs!$H$7:$H$101</c:f>
              <c:numCache>
                <c:formatCode>0.000</c:formatCode>
                <c:ptCount val="95"/>
                <c:pt idx="0">
                  <c:v>4.231363238139366E-3</c:v>
                </c:pt>
                <c:pt idx="1">
                  <c:v>4.7423710919193762E-3</c:v>
                </c:pt>
                <c:pt idx="2">
                  <c:v>1.3292058071481384E-2</c:v>
                </c:pt>
                <c:pt idx="3">
                  <c:v>1.3527602041741572E-2</c:v>
                </c:pt>
                <c:pt idx="4">
                  <c:v>1.9048627837674366E-2</c:v>
                </c:pt>
                <c:pt idx="5">
                  <c:v>1.983749809554209E-2</c:v>
                </c:pt>
                <c:pt idx="6">
                  <c:v>2.0816678883440635E-2</c:v>
                </c:pt>
                <c:pt idx="7">
                  <c:v>3.2527927257908908E-2</c:v>
                </c:pt>
                <c:pt idx="8">
                  <c:v>3.7796995332636758E-2</c:v>
                </c:pt>
                <c:pt idx="9">
                  <c:v>3.868744627701063E-2</c:v>
                </c:pt>
                <c:pt idx="10">
                  <c:v>4.1292585405969966E-2</c:v>
                </c:pt>
                <c:pt idx="11">
                  <c:v>4.1607721495115602E-2</c:v>
                </c:pt>
                <c:pt idx="12">
                  <c:v>7.9900906273469186E-2</c:v>
                </c:pt>
                <c:pt idx="13">
                  <c:v>8.1001330917867778E-2</c:v>
                </c:pt>
                <c:pt idx="14">
                  <c:v>8.2238966796737367E-2</c:v>
                </c:pt>
                <c:pt idx="15">
                  <c:v>8.3397377346092733E-2</c:v>
                </c:pt>
                <c:pt idx="16">
                  <c:v>9.3426673267105631E-2</c:v>
                </c:pt>
                <c:pt idx="17">
                  <c:v>0.11389590622001078</c:v>
                </c:pt>
                <c:pt idx="18">
                  <c:v>0.11485035882616218</c:v>
                </c:pt>
                <c:pt idx="19">
                  <c:v>0.11600350540475785</c:v>
                </c:pt>
                <c:pt idx="20">
                  <c:v>0.11929343573792461</c:v>
                </c:pt>
                <c:pt idx="21">
                  <c:v>0.11980678719665011</c:v>
                </c:pt>
                <c:pt idx="22">
                  <c:v>0.15457518191435884</c:v>
                </c:pt>
                <c:pt idx="23">
                  <c:v>0.15489940250110323</c:v>
                </c:pt>
                <c:pt idx="24">
                  <c:v>0.16900874562714646</c:v>
                </c:pt>
                <c:pt idx="25">
                  <c:v>0.17010413829726515</c:v>
                </c:pt>
                <c:pt idx="26">
                  <c:v>0.1715603603783884</c:v>
                </c:pt>
                <c:pt idx="27">
                  <c:v>0.21498679764670783</c:v>
                </c:pt>
                <c:pt idx="28">
                  <c:v>0.22708139817903775</c:v>
                </c:pt>
                <c:pt idx="29">
                  <c:v>0.23311625359606086</c:v>
                </c:pt>
                <c:pt idx="30">
                  <c:v>0.24535670356090339</c:v>
                </c:pt>
                <c:pt idx="31">
                  <c:v>0.24692476483110251</c:v>
                </c:pt>
                <c:pt idx="32">
                  <c:v>0.76671434612042266</c:v>
                </c:pt>
                <c:pt idx="33">
                  <c:v>0.76739464569658167</c:v>
                </c:pt>
                <c:pt idx="34">
                  <c:v>0.77246210956454286</c:v>
                </c:pt>
                <c:pt idx="35">
                  <c:v>0.77537015019867006</c:v>
                </c:pt>
                <c:pt idx="36">
                  <c:v>0.77846719161054967</c:v>
                </c:pt>
                <c:pt idx="37">
                  <c:v>0.82356724120570934</c:v>
                </c:pt>
                <c:pt idx="38">
                  <c:v>0.82507720130687801</c:v>
                </c:pt>
                <c:pt idx="39">
                  <c:v>0.82620407501830406</c:v>
                </c:pt>
                <c:pt idx="40">
                  <c:v>0.83433872323219593</c:v>
                </c:pt>
                <c:pt idx="41">
                  <c:v>0.8349101573589669</c:v>
                </c:pt>
                <c:pt idx="42">
                  <c:v>0.9090609309609744</c:v>
                </c:pt>
                <c:pt idx="43">
                  <c:v>0.90920318452146698</c:v>
                </c:pt>
                <c:pt idx="44">
                  <c:v>0.91872370335231945</c:v>
                </c:pt>
                <c:pt idx="45">
                  <c:v>0.91927875735295206</c:v>
                </c:pt>
                <c:pt idx="46">
                  <c:v>0.91996311194859459</c:v>
                </c:pt>
                <c:pt idx="47">
                  <c:v>0.93832671988932903</c:v>
                </c:pt>
                <c:pt idx="48">
                  <c:v>0.94015490941498481</c:v>
                </c:pt>
                <c:pt idx="49">
                  <c:v>0.94037653902928686</c:v>
                </c:pt>
                <c:pt idx="50">
                  <c:v>0.94102227494762158</c:v>
                </c:pt>
                <c:pt idx="51">
                  <c:v>0.94117328916505705</c:v>
                </c:pt>
                <c:pt idx="52">
                  <c:v>0.97753061015282405</c:v>
                </c:pt>
                <c:pt idx="53">
                  <c:v>0.97759428217403377</c:v>
                </c:pt>
                <c:pt idx="54">
                  <c:v>0.97773397856066957</c:v>
                </c:pt>
                <c:pt idx="55">
                  <c:v>0.97786881285905536</c:v>
                </c:pt>
                <c:pt idx="56">
                  <c:v>0.9781638801514505</c:v>
                </c:pt>
                <c:pt idx="57">
                  <c:v>0.98274840737260261</c:v>
                </c:pt>
                <c:pt idx="58">
                  <c:v>0.98296494444392368</c:v>
                </c:pt>
                <c:pt idx="59">
                  <c:v>0.98301980199381711</c:v>
                </c:pt>
                <c:pt idx="60">
                  <c:v>0.98330163917303626</c:v>
                </c:pt>
                <c:pt idx="61">
                  <c:v>0.98335959549110019</c:v>
                </c:pt>
                <c:pt idx="62">
                  <c:v>0.99028804701996376</c:v>
                </c:pt>
                <c:pt idx="63">
                  <c:v>0.99032278034356791</c:v>
                </c:pt>
                <c:pt idx="64">
                  <c:v>0.99153875612071884</c:v>
                </c:pt>
                <c:pt idx="65">
                  <c:v>0.99156437047762724</c:v>
                </c:pt>
                <c:pt idx="66">
                  <c:v>0.99165771771184896</c:v>
                </c:pt>
                <c:pt idx="67">
                  <c:v>0.99258834442635968</c:v>
                </c:pt>
                <c:pt idx="68">
                  <c:v>0.99266738437894009</c:v>
                </c:pt>
                <c:pt idx="69">
                  <c:v>0.99278801674851591</c:v>
                </c:pt>
                <c:pt idx="70">
                  <c:v>0.99287942490329972</c:v>
                </c:pt>
                <c:pt idx="71">
                  <c:v>0.99287942490329972</c:v>
                </c:pt>
                <c:pt idx="72">
                  <c:v>0.99677977835391363</c:v>
                </c:pt>
                <c:pt idx="73">
                  <c:v>0.99677977835391363</c:v>
                </c:pt>
                <c:pt idx="74">
                  <c:v>0.99682536448752568</c:v>
                </c:pt>
                <c:pt idx="75">
                  <c:v>0.99682536448752568</c:v>
                </c:pt>
                <c:pt idx="76">
                  <c:v>0.99755386206652596</c:v>
                </c:pt>
                <c:pt idx="77">
                  <c:v>0.99785113149006377</c:v>
                </c:pt>
                <c:pt idx="78">
                  <c:v>0.99788019238227077</c:v>
                </c:pt>
                <c:pt idx="79">
                  <c:v>0.99789680382945622</c:v>
                </c:pt>
                <c:pt idx="80">
                  <c:v>0.99789680382945622</c:v>
                </c:pt>
                <c:pt idx="81">
                  <c:v>0.99790766566970657</c:v>
                </c:pt>
                <c:pt idx="82">
                  <c:v>0.99838977175443488</c:v>
                </c:pt>
                <c:pt idx="83">
                  <c:v>0.99845085944498457</c:v>
                </c:pt>
                <c:pt idx="84">
                  <c:v>0.99845085944498457</c:v>
                </c:pt>
                <c:pt idx="85">
                  <c:v>0.99845085944498457</c:v>
                </c:pt>
                <c:pt idx="86">
                  <c:v>0.99846435628069563</c:v>
                </c:pt>
                <c:pt idx="87">
                  <c:v>0.99849966585125238</c:v>
                </c:pt>
                <c:pt idx="88">
                  <c:v>0.99865757388813481</c:v>
                </c:pt>
                <c:pt idx="89">
                  <c:v>0.99865757388813481</c:v>
                </c:pt>
                <c:pt idx="90">
                  <c:v>0.99871275358276046</c:v>
                </c:pt>
                <c:pt idx="91">
                  <c:v>1</c:v>
                </c:pt>
                <c:pt idx="92">
                  <c:v>1</c:v>
                </c:pt>
                <c:pt idx="93">
                  <c:v>1</c:v>
                </c:pt>
                <c:pt idx="94">
                  <c:v>1</c:v>
                </c:pt>
              </c:numCache>
            </c:numRef>
          </c:xVal>
          <c:yVal>
            <c:numRef>
              <c:f>HoursCDFs!$A$7:$A$101</c:f>
              <c:numCache>
                <c:formatCode>General</c:formatCode>
                <c:ptCount val="95"/>
                <c:pt idx="0">
                  <c:v>8</c:v>
                </c:pt>
                <c:pt idx="1">
                  <c:v>9</c:v>
                </c:pt>
                <c:pt idx="2">
                  <c:v>10</c:v>
                </c:pt>
                <c:pt idx="3">
                  <c:v>11</c:v>
                </c:pt>
                <c:pt idx="4">
                  <c:v>12</c:v>
                </c:pt>
                <c:pt idx="5">
                  <c:v>13</c:v>
                </c:pt>
                <c:pt idx="6">
                  <c:v>14</c:v>
                </c:pt>
                <c:pt idx="7">
                  <c:v>15</c:v>
                </c:pt>
                <c:pt idx="8">
                  <c:v>16</c:v>
                </c:pt>
                <c:pt idx="9">
                  <c:v>17</c:v>
                </c:pt>
                <c:pt idx="10">
                  <c:v>18</c:v>
                </c:pt>
                <c:pt idx="11">
                  <c:v>19</c:v>
                </c:pt>
                <c:pt idx="12">
                  <c:v>20</c:v>
                </c:pt>
                <c:pt idx="13">
                  <c:v>21</c:v>
                </c:pt>
                <c:pt idx="14">
                  <c:v>22</c:v>
                </c:pt>
                <c:pt idx="15">
                  <c:v>23</c:v>
                </c:pt>
                <c:pt idx="16">
                  <c:v>24</c:v>
                </c:pt>
                <c:pt idx="17">
                  <c:v>25</c:v>
                </c:pt>
                <c:pt idx="18">
                  <c:v>26</c:v>
                </c:pt>
                <c:pt idx="19">
                  <c:v>27</c:v>
                </c:pt>
                <c:pt idx="20">
                  <c:v>28</c:v>
                </c:pt>
                <c:pt idx="21">
                  <c:v>29</c:v>
                </c:pt>
                <c:pt idx="22">
                  <c:v>30</c:v>
                </c:pt>
                <c:pt idx="23">
                  <c:v>31</c:v>
                </c:pt>
                <c:pt idx="24">
                  <c:v>32</c:v>
                </c:pt>
                <c:pt idx="25">
                  <c:v>33</c:v>
                </c:pt>
                <c:pt idx="26">
                  <c:v>34</c:v>
                </c:pt>
                <c:pt idx="27">
                  <c:v>35</c:v>
                </c:pt>
                <c:pt idx="28">
                  <c:v>36</c:v>
                </c:pt>
                <c:pt idx="29">
                  <c:v>37</c:v>
                </c:pt>
                <c:pt idx="30">
                  <c:v>38</c:v>
                </c:pt>
                <c:pt idx="31">
                  <c:v>39</c:v>
                </c:pt>
                <c:pt idx="32">
                  <c:v>40</c:v>
                </c:pt>
                <c:pt idx="33">
                  <c:v>41</c:v>
                </c:pt>
                <c:pt idx="34">
                  <c:v>42</c:v>
                </c:pt>
                <c:pt idx="35">
                  <c:v>43</c:v>
                </c:pt>
                <c:pt idx="36">
                  <c:v>44</c:v>
                </c:pt>
                <c:pt idx="37">
                  <c:v>45</c:v>
                </c:pt>
                <c:pt idx="38">
                  <c:v>46</c:v>
                </c:pt>
                <c:pt idx="39">
                  <c:v>47</c:v>
                </c:pt>
                <c:pt idx="40">
                  <c:v>48</c:v>
                </c:pt>
                <c:pt idx="41">
                  <c:v>49</c:v>
                </c:pt>
                <c:pt idx="42">
                  <c:v>50</c:v>
                </c:pt>
                <c:pt idx="43">
                  <c:v>51</c:v>
                </c:pt>
                <c:pt idx="44">
                  <c:v>52</c:v>
                </c:pt>
                <c:pt idx="45">
                  <c:v>53</c:v>
                </c:pt>
                <c:pt idx="46">
                  <c:v>54</c:v>
                </c:pt>
                <c:pt idx="47">
                  <c:v>55</c:v>
                </c:pt>
                <c:pt idx="48">
                  <c:v>56</c:v>
                </c:pt>
                <c:pt idx="49">
                  <c:v>57</c:v>
                </c:pt>
                <c:pt idx="50">
                  <c:v>58</c:v>
                </c:pt>
                <c:pt idx="51">
                  <c:v>59</c:v>
                </c:pt>
                <c:pt idx="52">
                  <c:v>60</c:v>
                </c:pt>
                <c:pt idx="53">
                  <c:v>61</c:v>
                </c:pt>
                <c:pt idx="54">
                  <c:v>62</c:v>
                </c:pt>
                <c:pt idx="55">
                  <c:v>63</c:v>
                </c:pt>
                <c:pt idx="56">
                  <c:v>64</c:v>
                </c:pt>
                <c:pt idx="57">
                  <c:v>65</c:v>
                </c:pt>
                <c:pt idx="58">
                  <c:v>66</c:v>
                </c:pt>
                <c:pt idx="59">
                  <c:v>67</c:v>
                </c:pt>
                <c:pt idx="60">
                  <c:v>68</c:v>
                </c:pt>
                <c:pt idx="61">
                  <c:v>69</c:v>
                </c:pt>
                <c:pt idx="62">
                  <c:v>70</c:v>
                </c:pt>
                <c:pt idx="63">
                  <c:v>71</c:v>
                </c:pt>
                <c:pt idx="64">
                  <c:v>72</c:v>
                </c:pt>
                <c:pt idx="65">
                  <c:v>73</c:v>
                </c:pt>
                <c:pt idx="66">
                  <c:v>74</c:v>
                </c:pt>
                <c:pt idx="67">
                  <c:v>75</c:v>
                </c:pt>
                <c:pt idx="68">
                  <c:v>76</c:v>
                </c:pt>
                <c:pt idx="69">
                  <c:v>77</c:v>
                </c:pt>
                <c:pt idx="70">
                  <c:v>78</c:v>
                </c:pt>
                <c:pt idx="71">
                  <c:v>79</c:v>
                </c:pt>
                <c:pt idx="72">
                  <c:v>80</c:v>
                </c:pt>
                <c:pt idx="73">
                  <c:v>81</c:v>
                </c:pt>
                <c:pt idx="74">
                  <c:v>82</c:v>
                </c:pt>
                <c:pt idx="75">
                  <c:v>83</c:v>
                </c:pt>
                <c:pt idx="76">
                  <c:v>84</c:v>
                </c:pt>
                <c:pt idx="77">
                  <c:v>85</c:v>
                </c:pt>
                <c:pt idx="78">
                  <c:v>86</c:v>
                </c:pt>
                <c:pt idx="79">
                  <c:v>87</c:v>
                </c:pt>
                <c:pt idx="80">
                  <c:v>88</c:v>
                </c:pt>
                <c:pt idx="81">
                  <c:v>89</c:v>
                </c:pt>
                <c:pt idx="82">
                  <c:v>90</c:v>
                </c:pt>
                <c:pt idx="83">
                  <c:v>91</c:v>
                </c:pt>
                <c:pt idx="84">
                  <c:v>92</c:v>
                </c:pt>
                <c:pt idx="85">
                  <c:v>93</c:v>
                </c:pt>
                <c:pt idx="86">
                  <c:v>94</c:v>
                </c:pt>
                <c:pt idx="87">
                  <c:v>95</c:v>
                </c:pt>
                <c:pt idx="88">
                  <c:v>96</c:v>
                </c:pt>
                <c:pt idx="89">
                  <c:v>97</c:v>
                </c:pt>
                <c:pt idx="90">
                  <c:v>98</c:v>
                </c:pt>
                <c:pt idx="91">
                  <c:v>99</c:v>
                </c:pt>
                <c:pt idx="92">
                  <c:v>100</c:v>
                </c:pt>
                <c:pt idx="93">
                  <c:v>101</c:v>
                </c:pt>
                <c:pt idx="94">
                  <c:v>102</c:v>
                </c:pt>
              </c:numCache>
            </c:numRef>
          </c:yVal>
          <c:smooth val="0"/>
        </c:ser>
        <c:ser>
          <c:idx val="1"/>
          <c:order val="1"/>
          <c:tx>
            <c:v>w/ ACA</c:v>
          </c:tx>
          <c:spPr>
            <a:ln>
              <a:solidFill>
                <a:srgbClr val="FF0000"/>
              </a:solidFill>
            </a:ln>
          </c:spPr>
          <c:marker>
            <c:symbol val="none"/>
          </c:marker>
          <c:xVal>
            <c:numRef>
              <c:f>HoursCDFs!$P$7:$P$101</c:f>
              <c:numCache>
                <c:formatCode>0.000</c:formatCode>
                <c:ptCount val="95"/>
                <c:pt idx="0">
                  <c:v>4.4646369566018144E-3</c:v>
                </c:pt>
                <c:pt idx="1">
                  <c:v>4.9387564843994761E-3</c:v>
                </c:pt>
                <c:pt idx="2">
                  <c:v>1.3214470283123085E-2</c:v>
                </c:pt>
                <c:pt idx="3">
                  <c:v>1.3446622086388638E-2</c:v>
                </c:pt>
                <c:pt idx="4">
                  <c:v>1.8944596186163939E-2</c:v>
                </c:pt>
                <c:pt idx="5">
                  <c:v>1.9735455285385152E-2</c:v>
                </c:pt>
                <c:pt idx="6">
                  <c:v>2.0721633296632225E-2</c:v>
                </c:pt>
                <c:pt idx="7">
                  <c:v>3.2555570265709349E-2</c:v>
                </c:pt>
                <c:pt idx="8">
                  <c:v>3.7892944797429877E-2</c:v>
                </c:pt>
                <c:pt idx="9">
                  <c:v>3.8796646667435604E-2</c:v>
                </c:pt>
                <c:pt idx="10">
                  <c:v>4.1444506844902668E-2</c:v>
                </c:pt>
                <c:pt idx="11">
                  <c:v>4.1765197773766444E-2</c:v>
                </c:pt>
                <c:pt idx="12">
                  <c:v>8.0772137176303938E-2</c:v>
                </c:pt>
                <c:pt idx="13">
                  <c:v>8.1894005977028589E-2</c:v>
                </c:pt>
                <c:pt idx="14">
                  <c:v>8.3156650851002961E-2</c:v>
                </c:pt>
                <c:pt idx="15">
                  <c:v>8.4339185831773772E-2</c:v>
                </c:pt>
                <c:pt idx="16">
                  <c:v>9.4582728503404115E-2</c:v>
                </c:pt>
                <c:pt idx="17">
                  <c:v>0.11549884515046208</c:v>
                </c:pt>
                <c:pt idx="18">
                  <c:v>0.11647453114841133</c:v>
                </c:pt>
                <c:pt idx="19">
                  <c:v>0.11765375643684364</c:v>
                </c:pt>
                <c:pt idx="20">
                  <c:v>0.12101917403985914</c:v>
                </c:pt>
                <c:pt idx="21">
                  <c:v>0.16831904402669892</c:v>
                </c:pt>
                <c:pt idx="22">
                  <c:v>0.18846233338504365</c:v>
                </c:pt>
                <c:pt idx="23">
                  <c:v>0.18865018544252546</c:v>
                </c:pt>
                <c:pt idx="24">
                  <c:v>0.1968255876118577</c:v>
                </c:pt>
                <c:pt idx="25">
                  <c:v>0.19746032898171911</c:v>
                </c:pt>
                <c:pt idx="26">
                  <c:v>0.1983042021804883</c:v>
                </c:pt>
                <c:pt idx="27">
                  <c:v>0.22494605681998447</c:v>
                </c:pt>
                <c:pt idx="28">
                  <c:v>0.23236838050204281</c:v>
                </c:pt>
                <c:pt idx="29">
                  <c:v>0.23868916831902767</c:v>
                </c:pt>
                <c:pt idx="30">
                  <c:v>0.24843018599768391</c:v>
                </c:pt>
                <c:pt idx="31">
                  <c:v>0.25392162744948465</c:v>
                </c:pt>
                <c:pt idx="32">
                  <c:v>0.57383431195541756</c:v>
                </c:pt>
                <c:pt idx="33">
                  <c:v>0.76775579918690495</c:v>
                </c:pt>
                <c:pt idx="34">
                  <c:v>0.77112432293633293</c:v>
                </c:pt>
                <c:pt idx="35">
                  <c:v>0.77480895156246099</c:v>
                </c:pt>
                <c:pt idx="36">
                  <c:v>0.77780453217129608</c:v>
                </c:pt>
                <c:pt idx="37">
                  <c:v>0.8067045686048645</c:v>
                </c:pt>
                <c:pt idx="38">
                  <c:v>0.82463771318915957</c:v>
                </c:pt>
                <c:pt idx="39">
                  <c:v>0.82590146524110752</c:v>
                </c:pt>
                <c:pt idx="40">
                  <c:v>0.83133306134305407</c:v>
                </c:pt>
                <c:pt idx="41">
                  <c:v>0.83477059338139326</c:v>
                </c:pt>
                <c:pt idx="42">
                  <c:v>0.8806228308900842</c:v>
                </c:pt>
                <c:pt idx="43">
                  <c:v>0.90894114750541632</c:v>
                </c:pt>
                <c:pt idx="44">
                  <c:v>0.91485617256254814</c:v>
                </c:pt>
                <c:pt idx="45">
                  <c:v>0.91883446367424271</c:v>
                </c:pt>
                <c:pt idx="46">
                  <c:v>0.91946818640333294</c:v>
                </c:pt>
                <c:pt idx="47">
                  <c:v>0.93103878893624969</c:v>
                </c:pt>
                <c:pt idx="48">
                  <c:v>0.9392100195289399</c:v>
                </c:pt>
                <c:pt idx="49">
                  <c:v>0.94004886870765703</c:v>
                </c:pt>
                <c:pt idx="50">
                  <c:v>0.94053189080317035</c:v>
                </c:pt>
                <c:pt idx="51">
                  <c:v>0.94087362630381344</c:v>
                </c:pt>
                <c:pt idx="52">
                  <c:v>0.96333173823114637</c:v>
                </c:pt>
                <c:pt idx="53">
                  <c:v>0.97740671653270583</c:v>
                </c:pt>
                <c:pt idx="54">
                  <c:v>0.97751740624689976</c:v>
                </c:pt>
                <c:pt idx="55">
                  <c:v>0.97765454572065569</c:v>
                </c:pt>
                <c:pt idx="56">
                  <c:v>0.97788861623105872</c:v>
                </c:pt>
                <c:pt idx="57">
                  <c:v>0.98082867415405306</c:v>
                </c:pt>
                <c:pt idx="58">
                  <c:v>0.98274113258296036</c:v>
                </c:pt>
                <c:pt idx="59">
                  <c:v>0.98285905176281119</c:v>
                </c:pt>
                <c:pt idx="60">
                  <c:v>0.98305412349437282</c:v>
                </c:pt>
                <c:pt idx="61">
                  <c:v>0.98319951263767591</c:v>
                </c:pt>
                <c:pt idx="62">
                  <c:v>0.98749385015958202</c:v>
                </c:pt>
                <c:pt idx="63">
                  <c:v>0.99021545051415982</c:v>
                </c:pt>
                <c:pt idx="64">
                  <c:v>0.99097880201631738</c:v>
                </c:pt>
                <c:pt idx="65">
                  <c:v>0.9914692247500827</c:v>
                </c:pt>
                <c:pt idx="66">
                  <c:v>0.99153679699276753</c:v>
                </c:pt>
                <c:pt idx="67">
                  <c:v>0.99214723061034515</c:v>
                </c:pt>
                <c:pt idx="68">
                  <c:v>0.99256000778317444</c:v>
                </c:pt>
                <c:pt idx="69">
                  <c:v>0.99266535136167044</c:v>
                </c:pt>
                <c:pt idx="70">
                  <c:v>0.99276898379490119</c:v>
                </c:pt>
                <c:pt idx="71">
                  <c:v>0.99280480976018404</c:v>
                </c:pt>
                <c:pt idx="72">
                  <c:v>0.99521085849156732</c:v>
                </c:pt>
                <c:pt idx="73">
                  <c:v>0.99674140593504723</c:v>
                </c:pt>
                <c:pt idx="74">
                  <c:v>0.99676952957453269</c:v>
                </c:pt>
                <c:pt idx="75">
                  <c:v>0.99678743881765808</c:v>
                </c:pt>
                <c:pt idx="76">
                  <c:v>0.9972369113491395</c:v>
                </c:pt>
                <c:pt idx="77">
                  <c:v>0.99770684522215225</c:v>
                </c:pt>
                <c:pt idx="78">
                  <c:v>0.99784175339779613</c:v>
                </c:pt>
                <c:pt idx="79">
                  <c:v>0.99786344506213909</c:v>
                </c:pt>
                <c:pt idx="80">
                  <c:v>0.99786998835648266</c:v>
                </c:pt>
                <c:pt idx="81">
                  <c:v>0.99787669123382194</c:v>
                </c:pt>
                <c:pt idx="82">
                  <c:v>0.99817849363248035</c:v>
                </c:pt>
                <c:pt idx="83">
                  <c:v>0.99840636815529105</c:v>
                </c:pt>
                <c:pt idx="84">
                  <c:v>0.99843047611002389</c:v>
                </c:pt>
                <c:pt idx="85">
                  <c:v>0.99843047611002389</c:v>
                </c:pt>
                <c:pt idx="86">
                  <c:v>0.99843880645448002</c:v>
                </c:pt>
                <c:pt idx="87">
                  <c:v>0.99846593384083759</c:v>
                </c:pt>
                <c:pt idx="88">
                  <c:v>0.99857736048518786</c:v>
                </c:pt>
                <c:pt idx="89">
                  <c:v>0.99863981011073499</c:v>
                </c:pt>
                <c:pt idx="90">
                  <c:v>0.9986738715441692</c:v>
                </c:pt>
                <c:pt idx="91">
                  <c:v>0.99949032793807102</c:v>
                </c:pt>
                <c:pt idx="92">
                  <c:v>1</c:v>
                </c:pt>
                <c:pt idx="93">
                  <c:v>1</c:v>
                </c:pt>
                <c:pt idx="94">
                  <c:v>1</c:v>
                </c:pt>
              </c:numCache>
            </c:numRef>
          </c:xVal>
          <c:yVal>
            <c:numRef>
              <c:f>HoursCDFs!$A$7:$A$101</c:f>
              <c:numCache>
                <c:formatCode>General</c:formatCode>
                <c:ptCount val="95"/>
                <c:pt idx="0">
                  <c:v>8</c:v>
                </c:pt>
                <c:pt idx="1">
                  <c:v>9</c:v>
                </c:pt>
                <c:pt idx="2">
                  <c:v>10</c:v>
                </c:pt>
                <c:pt idx="3">
                  <c:v>11</c:v>
                </c:pt>
                <c:pt idx="4">
                  <c:v>12</c:v>
                </c:pt>
                <c:pt idx="5">
                  <c:v>13</c:v>
                </c:pt>
                <c:pt idx="6">
                  <c:v>14</c:v>
                </c:pt>
                <c:pt idx="7">
                  <c:v>15</c:v>
                </c:pt>
                <c:pt idx="8">
                  <c:v>16</c:v>
                </c:pt>
                <c:pt idx="9">
                  <c:v>17</c:v>
                </c:pt>
                <c:pt idx="10">
                  <c:v>18</c:v>
                </c:pt>
                <c:pt idx="11">
                  <c:v>19</c:v>
                </c:pt>
                <c:pt idx="12">
                  <c:v>20</c:v>
                </c:pt>
                <c:pt idx="13">
                  <c:v>21</c:v>
                </c:pt>
                <c:pt idx="14">
                  <c:v>22</c:v>
                </c:pt>
                <c:pt idx="15">
                  <c:v>23</c:v>
                </c:pt>
                <c:pt idx="16">
                  <c:v>24</c:v>
                </c:pt>
                <c:pt idx="17">
                  <c:v>25</c:v>
                </c:pt>
                <c:pt idx="18">
                  <c:v>26</c:v>
                </c:pt>
                <c:pt idx="19">
                  <c:v>27</c:v>
                </c:pt>
                <c:pt idx="20">
                  <c:v>28</c:v>
                </c:pt>
                <c:pt idx="21">
                  <c:v>29</c:v>
                </c:pt>
                <c:pt idx="22">
                  <c:v>30</c:v>
                </c:pt>
                <c:pt idx="23">
                  <c:v>31</c:v>
                </c:pt>
                <c:pt idx="24">
                  <c:v>32</c:v>
                </c:pt>
                <c:pt idx="25">
                  <c:v>33</c:v>
                </c:pt>
                <c:pt idx="26">
                  <c:v>34</c:v>
                </c:pt>
                <c:pt idx="27">
                  <c:v>35</c:v>
                </c:pt>
                <c:pt idx="28">
                  <c:v>36</c:v>
                </c:pt>
                <c:pt idx="29">
                  <c:v>37</c:v>
                </c:pt>
                <c:pt idx="30">
                  <c:v>38</c:v>
                </c:pt>
                <c:pt idx="31">
                  <c:v>39</c:v>
                </c:pt>
                <c:pt idx="32">
                  <c:v>40</c:v>
                </c:pt>
                <c:pt idx="33">
                  <c:v>41</c:v>
                </c:pt>
                <c:pt idx="34">
                  <c:v>42</c:v>
                </c:pt>
                <c:pt idx="35">
                  <c:v>43</c:v>
                </c:pt>
                <c:pt idx="36">
                  <c:v>44</c:v>
                </c:pt>
                <c:pt idx="37">
                  <c:v>45</c:v>
                </c:pt>
                <c:pt idx="38">
                  <c:v>46</c:v>
                </c:pt>
                <c:pt idx="39">
                  <c:v>47</c:v>
                </c:pt>
                <c:pt idx="40">
                  <c:v>48</c:v>
                </c:pt>
                <c:pt idx="41">
                  <c:v>49</c:v>
                </c:pt>
                <c:pt idx="42">
                  <c:v>50</c:v>
                </c:pt>
                <c:pt idx="43">
                  <c:v>51</c:v>
                </c:pt>
                <c:pt idx="44">
                  <c:v>52</c:v>
                </c:pt>
                <c:pt idx="45">
                  <c:v>53</c:v>
                </c:pt>
                <c:pt idx="46">
                  <c:v>54</c:v>
                </c:pt>
                <c:pt idx="47">
                  <c:v>55</c:v>
                </c:pt>
                <c:pt idx="48">
                  <c:v>56</c:v>
                </c:pt>
                <c:pt idx="49">
                  <c:v>57</c:v>
                </c:pt>
                <c:pt idx="50">
                  <c:v>58</c:v>
                </c:pt>
                <c:pt idx="51">
                  <c:v>59</c:v>
                </c:pt>
                <c:pt idx="52">
                  <c:v>60</c:v>
                </c:pt>
                <c:pt idx="53">
                  <c:v>61</c:v>
                </c:pt>
                <c:pt idx="54">
                  <c:v>62</c:v>
                </c:pt>
                <c:pt idx="55">
                  <c:v>63</c:v>
                </c:pt>
                <c:pt idx="56">
                  <c:v>64</c:v>
                </c:pt>
                <c:pt idx="57">
                  <c:v>65</c:v>
                </c:pt>
                <c:pt idx="58">
                  <c:v>66</c:v>
                </c:pt>
                <c:pt idx="59">
                  <c:v>67</c:v>
                </c:pt>
                <c:pt idx="60">
                  <c:v>68</c:v>
                </c:pt>
                <c:pt idx="61">
                  <c:v>69</c:v>
                </c:pt>
                <c:pt idx="62">
                  <c:v>70</c:v>
                </c:pt>
                <c:pt idx="63">
                  <c:v>71</c:v>
                </c:pt>
                <c:pt idx="64">
                  <c:v>72</c:v>
                </c:pt>
                <c:pt idx="65">
                  <c:v>73</c:v>
                </c:pt>
                <c:pt idx="66">
                  <c:v>74</c:v>
                </c:pt>
                <c:pt idx="67">
                  <c:v>75</c:v>
                </c:pt>
                <c:pt idx="68">
                  <c:v>76</c:v>
                </c:pt>
                <c:pt idx="69">
                  <c:v>77</c:v>
                </c:pt>
                <c:pt idx="70">
                  <c:v>78</c:v>
                </c:pt>
                <c:pt idx="71">
                  <c:v>79</c:v>
                </c:pt>
                <c:pt idx="72">
                  <c:v>80</c:v>
                </c:pt>
                <c:pt idx="73">
                  <c:v>81</c:v>
                </c:pt>
                <c:pt idx="74">
                  <c:v>82</c:v>
                </c:pt>
                <c:pt idx="75">
                  <c:v>83</c:v>
                </c:pt>
                <c:pt idx="76">
                  <c:v>84</c:v>
                </c:pt>
                <c:pt idx="77">
                  <c:v>85</c:v>
                </c:pt>
                <c:pt idx="78">
                  <c:v>86</c:v>
                </c:pt>
                <c:pt idx="79">
                  <c:v>87</c:v>
                </c:pt>
                <c:pt idx="80">
                  <c:v>88</c:v>
                </c:pt>
                <c:pt idx="81">
                  <c:v>89</c:v>
                </c:pt>
                <c:pt idx="82">
                  <c:v>90</c:v>
                </c:pt>
                <c:pt idx="83">
                  <c:v>91</c:v>
                </c:pt>
                <c:pt idx="84">
                  <c:v>92</c:v>
                </c:pt>
                <c:pt idx="85">
                  <c:v>93</c:v>
                </c:pt>
                <c:pt idx="86">
                  <c:v>94</c:v>
                </c:pt>
                <c:pt idx="87">
                  <c:v>95</c:v>
                </c:pt>
                <c:pt idx="88">
                  <c:v>96</c:v>
                </c:pt>
                <c:pt idx="89">
                  <c:v>97</c:v>
                </c:pt>
                <c:pt idx="90">
                  <c:v>98</c:v>
                </c:pt>
                <c:pt idx="91">
                  <c:v>99</c:v>
                </c:pt>
                <c:pt idx="92">
                  <c:v>100</c:v>
                </c:pt>
                <c:pt idx="93">
                  <c:v>101</c:v>
                </c:pt>
                <c:pt idx="94">
                  <c:v>102</c:v>
                </c:pt>
              </c:numCache>
            </c:numRef>
          </c:yVal>
          <c:smooth val="0"/>
        </c:ser>
        <c:dLbls>
          <c:showLegendKey val="0"/>
          <c:showVal val="0"/>
          <c:showCatName val="0"/>
          <c:showSerName val="0"/>
          <c:showPercent val="0"/>
          <c:showBubbleSize val="0"/>
        </c:dLbls>
        <c:axId val="206502528"/>
        <c:axId val="206050048"/>
      </c:scatterChart>
      <c:valAx>
        <c:axId val="206502528"/>
        <c:scaling>
          <c:orientation val="minMax"/>
          <c:max val="1"/>
        </c:scaling>
        <c:delete val="0"/>
        <c:axPos val="b"/>
        <c:title>
          <c:tx>
            <c:rich>
              <a:bodyPr/>
              <a:lstStyle/>
              <a:p>
                <a:pPr>
                  <a:defRPr sz="1400"/>
                </a:pPr>
                <a:r>
                  <a:rPr lang="en-US" sz="1400"/>
                  <a:t>Quantile</a:t>
                </a:r>
                <a:r>
                  <a:rPr lang="en-US" sz="1400" baseline="0"/>
                  <a:t> of hours distribution</a:t>
                </a:r>
                <a:endParaRPr lang="en-US" sz="1400"/>
              </a:p>
            </c:rich>
          </c:tx>
          <c:layout/>
          <c:overlay val="0"/>
        </c:title>
        <c:numFmt formatCode="General" sourceLinked="0"/>
        <c:majorTickMark val="out"/>
        <c:minorTickMark val="none"/>
        <c:tickLblPos val="nextTo"/>
        <c:txPr>
          <a:bodyPr/>
          <a:lstStyle/>
          <a:p>
            <a:pPr>
              <a:defRPr sz="1200"/>
            </a:pPr>
            <a:endParaRPr lang="en-US"/>
          </a:p>
        </c:txPr>
        <c:crossAx val="206050048"/>
        <c:crosses val="autoZero"/>
        <c:crossBetween val="midCat"/>
      </c:valAx>
      <c:valAx>
        <c:axId val="206050048"/>
        <c:scaling>
          <c:orientation val="minMax"/>
          <c:max val="60"/>
          <c:min val="10"/>
        </c:scaling>
        <c:delete val="0"/>
        <c:axPos val="l"/>
        <c:title>
          <c:tx>
            <c:rich>
              <a:bodyPr rot="-5400000" vert="horz"/>
              <a:lstStyle/>
              <a:p>
                <a:pPr>
                  <a:defRPr/>
                </a:pPr>
                <a:r>
                  <a:rPr lang="en-US" sz="1400"/>
                  <a:t>Hours</a:t>
                </a:r>
                <a:r>
                  <a:rPr lang="en-US" sz="1400" baseline="0"/>
                  <a:t> per week, rounded to nearest hour</a:t>
                </a:r>
                <a:endParaRPr lang="en-US" sz="1400"/>
              </a:p>
            </c:rich>
          </c:tx>
          <c:layout/>
          <c:overlay val="0"/>
        </c:title>
        <c:numFmt formatCode="General" sourceLinked="0"/>
        <c:majorTickMark val="out"/>
        <c:minorTickMark val="none"/>
        <c:tickLblPos val="nextTo"/>
        <c:txPr>
          <a:bodyPr/>
          <a:lstStyle/>
          <a:p>
            <a:pPr>
              <a:defRPr sz="1200"/>
            </a:pPr>
            <a:endParaRPr lang="en-US"/>
          </a:p>
        </c:txPr>
        <c:crossAx val="206502528"/>
        <c:crosses val="autoZero"/>
        <c:crossBetween val="midCat"/>
      </c:valAx>
    </c:plotArea>
    <c:legend>
      <c:legendPos val="r"/>
      <c:layout>
        <c:manualLayout>
          <c:xMode val="edge"/>
          <c:yMode val="edge"/>
          <c:x val="0.51407407407407402"/>
          <c:y val="0.47176787366246298"/>
          <c:w val="0.20758555682122501"/>
          <c:h val="0.18102324229272099"/>
        </c:manualLayout>
      </c:layout>
      <c:overlay val="0"/>
      <c:txPr>
        <a:bodyPr/>
        <a:lstStyle/>
        <a:p>
          <a:pPr>
            <a:defRPr sz="1400"/>
          </a:pPr>
          <a:endParaRPr lang="en-US"/>
        </a:p>
      </c:txPr>
    </c:legend>
    <c:plotVisOnly val="1"/>
    <c:dispBlanksAs val="gap"/>
    <c:showDLblsOverMax val="0"/>
  </c:chart>
  <c:spPr>
    <a:ln>
      <a:noFill/>
    </a:ln>
  </c:spPr>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Figure</a:t>
            </a:r>
            <a:r>
              <a:rPr lang="en-US" baseline="0"/>
              <a:t> 5.  </a:t>
            </a:r>
            <a:r>
              <a:rPr lang="en-US"/>
              <a:t>Demographic group representation</a:t>
            </a:r>
            <a:r>
              <a:rPr lang="en-US" baseline="0"/>
              <a:t> by</a:t>
            </a:r>
            <a:r>
              <a:rPr lang="en-US"/>
              <a:t> no-ACA-hours cell</a:t>
            </a:r>
          </a:p>
          <a:p>
            <a:pPr>
              <a:defRPr/>
            </a:pPr>
            <a:r>
              <a:rPr lang="en-US" sz="1400" b="0"/>
              <a:t>weighted by weeks worked</a:t>
            </a:r>
          </a:p>
        </c:rich>
      </c:tx>
      <c:layout/>
      <c:overlay val="1"/>
    </c:title>
    <c:autoTitleDeleted val="0"/>
    <c:plotArea>
      <c:layout>
        <c:manualLayout>
          <c:layoutTarget val="inner"/>
          <c:xMode val="edge"/>
          <c:yMode val="edge"/>
          <c:x val="6.5514652493710898E-2"/>
          <c:y val="4.5726402230543799E-2"/>
          <c:w val="0.87525693655133996"/>
          <c:h val="0.84539466989579903"/>
        </c:manualLayout>
      </c:layout>
      <c:scatterChart>
        <c:scatterStyle val="lineMarker"/>
        <c:varyColors val="0"/>
        <c:ser>
          <c:idx val="0"/>
          <c:order val="0"/>
          <c:tx>
            <c:strRef>
              <c:f>'hours (1)'!$P$18</c:f>
              <c:strCache>
                <c:ptCount val="1"/>
                <c:pt idx="0">
                  <c:v>female</c:v>
                </c:pt>
              </c:strCache>
            </c:strRef>
          </c:tx>
          <c:spPr>
            <a:ln w="38100">
              <a:solidFill>
                <a:srgbClr val="0000FF"/>
              </a:solidFill>
            </a:ln>
          </c:spPr>
          <c:marker>
            <c:symbol val="none"/>
          </c:marker>
          <c:xVal>
            <c:numRef>
              <c:f>'hours (1)'!$A$19:$A$103</c:f>
              <c:numCache>
                <c:formatCode>General</c:formatCode>
                <c:ptCount val="85"/>
                <c:pt idx="0">
                  <c:v>8</c:v>
                </c:pt>
                <c:pt idx="1">
                  <c:v>9</c:v>
                </c:pt>
                <c:pt idx="2">
                  <c:v>10</c:v>
                </c:pt>
                <c:pt idx="3">
                  <c:v>11</c:v>
                </c:pt>
                <c:pt idx="4">
                  <c:v>12</c:v>
                </c:pt>
                <c:pt idx="5">
                  <c:v>13</c:v>
                </c:pt>
                <c:pt idx="6">
                  <c:v>14</c:v>
                </c:pt>
                <c:pt idx="7">
                  <c:v>15</c:v>
                </c:pt>
                <c:pt idx="8">
                  <c:v>16</c:v>
                </c:pt>
                <c:pt idx="9">
                  <c:v>17</c:v>
                </c:pt>
                <c:pt idx="10">
                  <c:v>18</c:v>
                </c:pt>
                <c:pt idx="11">
                  <c:v>19</c:v>
                </c:pt>
                <c:pt idx="12">
                  <c:v>20</c:v>
                </c:pt>
                <c:pt idx="13">
                  <c:v>21</c:v>
                </c:pt>
                <c:pt idx="14">
                  <c:v>22</c:v>
                </c:pt>
                <c:pt idx="15">
                  <c:v>23</c:v>
                </c:pt>
                <c:pt idx="16">
                  <c:v>24</c:v>
                </c:pt>
                <c:pt idx="17">
                  <c:v>25</c:v>
                </c:pt>
                <c:pt idx="18">
                  <c:v>26</c:v>
                </c:pt>
                <c:pt idx="19">
                  <c:v>27</c:v>
                </c:pt>
                <c:pt idx="20">
                  <c:v>28</c:v>
                </c:pt>
                <c:pt idx="21">
                  <c:v>29</c:v>
                </c:pt>
                <c:pt idx="22">
                  <c:v>30</c:v>
                </c:pt>
                <c:pt idx="23">
                  <c:v>31</c:v>
                </c:pt>
                <c:pt idx="24">
                  <c:v>32</c:v>
                </c:pt>
                <c:pt idx="25">
                  <c:v>33</c:v>
                </c:pt>
                <c:pt idx="26">
                  <c:v>34</c:v>
                </c:pt>
                <c:pt idx="27">
                  <c:v>35</c:v>
                </c:pt>
                <c:pt idx="28">
                  <c:v>36</c:v>
                </c:pt>
                <c:pt idx="29">
                  <c:v>37</c:v>
                </c:pt>
                <c:pt idx="30">
                  <c:v>38</c:v>
                </c:pt>
                <c:pt idx="31">
                  <c:v>39</c:v>
                </c:pt>
                <c:pt idx="32">
                  <c:v>40</c:v>
                </c:pt>
                <c:pt idx="33">
                  <c:v>41</c:v>
                </c:pt>
                <c:pt idx="34">
                  <c:v>42</c:v>
                </c:pt>
                <c:pt idx="35">
                  <c:v>43</c:v>
                </c:pt>
                <c:pt idx="36">
                  <c:v>44</c:v>
                </c:pt>
                <c:pt idx="37">
                  <c:v>45</c:v>
                </c:pt>
                <c:pt idx="38">
                  <c:v>46</c:v>
                </c:pt>
                <c:pt idx="39">
                  <c:v>47</c:v>
                </c:pt>
                <c:pt idx="40">
                  <c:v>48</c:v>
                </c:pt>
                <c:pt idx="41">
                  <c:v>49</c:v>
                </c:pt>
                <c:pt idx="42">
                  <c:v>50</c:v>
                </c:pt>
                <c:pt idx="43">
                  <c:v>51</c:v>
                </c:pt>
                <c:pt idx="44">
                  <c:v>52</c:v>
                </c:pt>
                <c:pt idx="45">
                  <c:v>53</c:v>
                </c:pt>
                <c:pt idx="46">
                  <c:v>54</c:v>
                </c:pt>
                <c:pt idx="47">
                  <c:v>55</c:v>
                </c:pt>
                <c:pt idx="48">
                  <c:v>56</c:v>
                </c:pt>
                <c:pt idx="49">
                  <c:v>57</c:v>
                </c:pt>
                <c:pt idx="50">
                  <c:v>58</c:v>
                </c:pt>
                <c:pt idx="51">
                  <c:v>59</c:v>
                </c:pt>
                <c:pt idx="52">
                  <c:v>60</c:v>
                </c:pt>
                <c:pt idx="53">
                  <c:v>61</c:v>
                </c:pt>
                <c:pt idx="54">
                  <c:v>62</c:v>
                </c:pt>
                <c:pt idx="55">
                  <c:v>63</c:v>
                </c:pt>
                <c:pt idx="56">
                  <c:v>64</c:v>
                </c:pt>
                <c:pt idx="57">
                  <c:v>65</c:v>
                </c:pt>
                <c:pt idx="58">
                  <c:v>66</c:v>
                </c:pt>
                <c:pt idx="59">
                  <c:v>67</c:v>
                </c:pt>
                <c:pt idx="60">
                  <c:v>68</c:v>
                </c:pt>
                <c:pt idx="61">
                  <c:v>69</c:v>
                </c:pt>
                <c:pt idx="62">
                  <c:v>70</c:v>
                </c:pt>
                <c:pt idx="63">
                  <c:v>71</c:v>
                </c:pt>
                <c:pt idx="64">
                  <c:v>72</c:v>
                </c:pt>
                <c:pt idx="65">
                  <c:v>73</c:v>
                </c:pt>
                <c:pt idx="66">
                  <c:v>74</c:v>
                </c:pt>
                <c:pt idx="67">
                  <c:v>75</c:v>
                </c:pt>
                <c:pt idx="68">
                  <c:v>76</c:v>
                </c:pt>
                <c:pt idx="69">
                  <c:v>77</c:v>
                </c:pt>
                <c:pt idx="70">
                  <c:v>78</c:v>
                </c:pt>
                <c:pt idx="71">
                  <c:v>80</c:v>
                </c:pt>
                <c:pt idx="72">
                  <c:v>82</c:v>
                </c:pt>
                <c:pt idx="73">
                  <c:v>84</c:v>
                </c:pt>
                <c:pt idx="74">
                  <c:v>85</c:v>
                </c:pt>
                <c:pt idx="75">
                  <c:v>86</c:v>
                </c:pt>
                <c:pt idx="76">
                  <c:v>87</c:v>
                </c:pt>
                <c:pt idx="77">
                  <c:v>89</c:v>
                </c:pt>
                <c:pt idx="78">
                  <c:v>90</c:v>
                </c:pt>
                <c:pt idx="79">
                  <c:v>91</c:v>
                </c:pt>
                <c:pt idx="80">
                  <c:v>94</c:v>
                </c:pt>
                <c:pt idx="81">
                  <c:v>95</c:v>
                </c:pt>
                <c:pt idx="82">
                  <c:v>96</c:v>
                </c:pt>
                <c:pt idx="83">
                  <c:v>98</c:v>
                </c:pt>
                <c:pt idx="84">
                  <c:v>99</c:v>
                </c:pt>
              </c:numCache>
            </c:numRef>
          </c:xVal>
          <c:yVal>
            <c:numRef>
              <c:f>'hours (1)'!$P$19:$P$103</c:f>
              <c:numCache>
                <c:formatCode>0.000</c:formatCode>
                <c:ptCount val="85"/>
                <c:pt idx="0">
                  <c:v>0.65945741368532951</c:v>
                </c:pt>
                <c:pt idx="1">
                  <c:v>0.61809764833410796</c:v>
                </c:pt>
                <c:pt idx="2">
                  <c:v>0.66850566449331195</c:v>
                </c:pt>
                <c:pt idx="3">
                  <c:v>0.7387130633743596</c:v>
                </c:pt>
                <c:pt idx="4">
                  <c:v>0.71832894688550686</c:v>
                </c:pt>
                <c:pt idx="5">
                  <c:v>0.6322132591886811</c:v>
                </c:pt>
                <c:pt idx="6">
                  <c:v>0.76536742273804459</c:v>
                </c:pt>
                <c:pt idx="7">
                  <c:v>0.61425585732695664</c:v>
                </c:pt>
                <c:pt idx="8">
                  <c:v>0.67759767184437258</c:v>
                </c:pt>
                <c:pt idx="9">
                  <c:v>0.70159704938896383</c:v>
                </c:pt>
                <c:pt idx="10">
                  <c:v>0.60885409318940575</c:v>
                </c:pt>
                <c:pt idx="11">
                  <c:v>0.7770279368612194</c:v>
                </c:pt>
                <c:pt idx="12">
                  <c:v>0.62853495092319212</c:v>
                </c:pt>
                <c:pt idx="13">
                  <c:v>0.60823820986997867</c:v>
                </c:pt>
                <c:pt idx="14">
                  <c:v>0.66033213534510571</c:v>
                </c:pt>
                <c:pt idx="15">
                  <c:v>0.69853276468925896</c:v>
                </c:pt>
                <c:pt idx="16">
                  <c:v>0.69714167607863164</c:v>
                </c:pt>
                <c:pt idx="17">
                  <c:v>0.62001171553543699</c:v>
                </c:pt>
                <c:pt idx="18">
                  <c:v>0.7536528778924938</c:v>
                </c:pt>
                <c:pt idx="19">
                  <c:v>0.68938735668071227</c:v>
                </c:pt>
                <c:pt idx="20">
                  <c:v>0.71162305464185771</c:v>
                </c:pt>
                <c:pt idx="21">
                  <c:v>0.80996890954765532</c:v>
                </c:pt>
                <c:pt idx="22">
                  <c:v>0.59836903719357315</c:v>
                </c:pt>
                <c:pt idx="23">
                  <c:v>0.81852105456597501</c:v>
                </c:pt>
                <c:pt idx="24">
                  <c:v>0.71987074955486186</c:v>
                </c:pt>
                <c:pt idx="25">
                  <c:v>0.72869783316357495</c:v>
                </c:pt>
                <c:pt idx="26">
                  <c:v>0.66627594416328395</c:v>
                </c:pt>
                <c:pt idx="27">
                  <c:v>0.56215447999770085</c:v>
                </c:pt>
                <c:pt idx="28">
                  <c:v>0.72214478000759019</c:v>
                </c:pt>
                <c:pt idx="29">
                  <c:v>0.74376864496543005</c:v>
                </c:pt>
                <c:pt idx="30">
                  <c:v>0.72079676182207131</c:v>
                </c:pt>
                <c:pt idx="31">
                  <c:v>0.54418855453806381</c:v>
                </c:pt>
                <c:pt idx="32">
                  <c:v>0.45564382461173775</c:v>
                </c:pt>
                <c:pt idx="33">
                  <c:v>0.33583847472936851</c:v>
                </c:pt>
                <c:pt idx="34">
                  <c:v>0.4412273518835641</c:v>
                </c:pt>
                <c:pt idx="35">
                  <c:v>0.44351573965069491</c:v>
                </c:pt>
                <c:pt idx="36">
                  <c:v>0.33487011502192815</c:v>
                </c:pt>
                <c:pt idx="37">
                  <c:v>0.36391779712251804</c:v>
                </c:pt>
                <c:pt idx="38">
                  <c:v>0.43607191944070439</c:v>
                </c:pt>
                <c:pt idx="39">
                  <c:v>0.41751106861548043</c:v>
                </c:pt>
                <c:pt idx="40">
                  <c:v>0.30584328509077524</c:v>
                </c:pt>
                <c:pt idx="41">
                  <c:v>0.44004271579192589</c:v>
                </c:pt>
                <c:pt idx="42">
                  <c:v>0.3032477864986225</c:v>
                </c:pt>
                <c:pt idx="43">
                  <c:v>0.26537239064064738</c:v>
                </c:pt>
                <c:pt idx="44">
                  <c:v>0.46102045026124311</c:v>
                </c:pt>
                <c:pt idx="45">
                  <c:v>0.187520309125004</c:v>
                </c:pt>
                <c:pt idx="46">
                  <c:v>0.25213222401674296</c:v>
                </c:pt>
                <c:pt idx="47">
                  <c:v>0.29727298917413836</c:v>
                </c:pt>
                <c:pt idx="48">
                  <c:v>0.23099471418976511</c:v>
                </c:pt>
                <c:pt idx="49">
                  <c:v>0.48320716927308266</c:v>
                </c:pt>
                <c:pt idx="50">
                  <c:v>0.2790711788398742</c:v>
                </c:pt>
                <c:pt idx="51">
                  <c:v>0.48132803124006113</c:v>
                </c:pt>
                <c:pt idx="52">
                  <c:v>0.2466006219830662</c:v>
                </c:pt>
                <c:pt idx="53">
                  <c:v>0.12348519058061724</c:v>
                </c:pt>
                <c:pt idx="54">
                  <c:v>0.34892609262462937</c:v>
                </c:pt>
                <c:pt idx="55">
                  <c:v>0.70823459370491926</c:v>
                </c:pt>
                <c:pt idx="56">
                  <c:v>0.37833153561735611</c:v>
                </c:pt>
                <c:pt idx="57">
                  <c:v>0.25995363563680474</c:v>
                </c:pt>
                <c:pt idx="58">
                  <c:v>0.38790189353632404</c:v>
                </c:pt>
                <c:pt idx="59">
                  <c:v>0.49123737802944023</c:v>
                </c:pt>
                <c:pt idx="60">
                  <c:v>0.3532285309144646</c:v>
                </c:pt>
                <c:pt idx="61">
                  <c:v>0</c:v>
                </c:pt>
                <c:pt idx="62">
                  <c:v>0.19788836524095066</c:v>
                </c:pt>
                <c:pt idx="63">
                  <c:v>9.2029363495985547E-2</c:v>
                </c:pt>
                <c:pt idx="64">
                  <c:v>0.14716606785038841</c:v>
                </c:pt>
                <c:pt idx="65">
                  <c:v>0.79661529955454524</c:v>
                </c:pt>
                <c:pt idx="66">
                  <c:v>0.36023021330378235</c:v>
                </c:pt>
                <c:pt idx="67">
                  <c:v>0.31945577165479933</c:v>
                </c:pt>
                <c:pt idx="68">
                  <c:v>9.7084790473669302E-2</c:v>
                </c:pt>
                <c:pt idx="69">
                  <c:v>0.16786469164474194</c:v>
                </c:pt>
                <c:pt idx="70">
                  <c:v>4.9492361336892138E-2</c:v>
                </c:pt>
                <c:pt idx="71">
                  <c:v>0.253388979833571</c:v>
                </c:pt>
                <c:pt idx="72">
                  <c:v>0</c:v>
                </c:pt>
                <c:pt idx="73">
                  <c:v>0.12384700904139835</c:v>
                </c:pt>
                <c:pt idx="74">
                  <c:v>0.16763775735501135</c:v>
                </c:pt>
                <c:pt idx="75">
                  <c:v>0</c:v>
                </c:pt>
                <c:pt idx="76">
                  <c:v>0</c:v>
                </c:pt>
                <c:pt idx="77">
                  <c:v>0</c:v>
                </c:pt>
                <c:pt idx="78">
                  <c:v>0.16005690514757984</c:v>
                </c:pt>
                <c:pt idx="79">
                  <c:v>7.1411137265055727E-2</c:v>
                </c:pt>
                <c:pt idx="80">
                  <c:v>1</c:v>
                </c:pt>
                <c:pt idx="81">
                  <c:v>0.61093299067674678</c:v>
                </c:pt>
                <c:pt idx="82">
                  <c:v>0.16278583426161031</c:v>
                </c:pt>
                <c:pt idx="83">
                  <c:v>0.31030432072726227</c:v>
                </c:pt>
                <c:pt idx="84">
                  <c:v>0.28300001813675729</c:v>
                </c:pt>
              </c:numCache>
            </c:numRef>
          </c:yVal>
          <c:smooth val="0"/>
        </c:ser>
        <c:ser>
          <c:idx val="2"/>
          <c:order val="1"/>
          <c:tx>
            <c:strRef>
              <c:f>'hours (1)'!$R$18</c:f>
              <c:strCache>
                <c:ptCount val="1"/>
                <c:pt idx="0">
                  <c:v>married HH head or spouse</c:v>
                </c:pt>
              </c:strCache>
            </c:strRef>
          </c:tx>
          <c:spPr>
            <a:ln w="38100">
              <a:solidFill>
                <a:srgbClr val="FF0000"/>
              </a:solidFill>
              <a:prstDash val="sysDash"/>
            </a:ln>
          </c:spPr>
          <c:marker>
            <c:symbol val="none"/>
          </c:marker>
          <c:xVal>
            <c:numRef>
              <c:f>'hours (1)'!$A$19:$A$103</c:f>
              <c:numCache>
                <c:formatCode>General</c:formatCode>
                <c:ptCount val="85"/>
                <c:pt idx="0">
                  <c:v>8</c:v>
                </c:pt>
                <c:pt idx="1">
                  <c:v>9</c:v>
                </c:pt>
                <c:pt idx="2">
                  <c:v>10</c:v>
                </c:pt>
                <c:pt idx="3">
                  <c:v>11</c:v>
                </c:pt>
                <c:pt idx="4">
                  <c:v>12</c:v>
                </c:pt>
                <c:pt idx="5">
                  <c:v>13</c:v>
                </c:pt>
                <c:pt idx="6">
                  <c:v>14</c:v>
                </c:pt>
                <c:pt idx="7">
                  <c:v>15</c:v>
                </c:pt>
                <c:pt idx="8">
                  <c:v>16</c:v>
                </c:pt>
                <c:pt idx="9">
                  <c:v>17</c:v>
                </c:pt>
                <c:pt idx="10">
                  <c:v>18</c:v>
                </c:pt>
                <c:pt idx="11">
                  <c:v>19</c:v>
                </c:pt>
                <c:pt idx="12">
                  <c:v>20</c:v>
                </c:pt>
                <c:pt idx="13">
                  <c:v>21</c:v>
                </c:pt>
                <c:pt idx="14">
                  <c:v>22</c:v>
                </c:pt>
                <c:pt idx="15">
                  <c:v>23</c:v>
                </c:pt>
                <c:pt idx="16">
                  <c:v>24</c:v>
                </c:pt>
                <c:pt idx="17">
                  <c:v>25</c:v>
                </c:pt>
                <c:pt idx="18">
                  <c:v>26</c:v>
                </c:pt>
                <c:pt idx="19">
                  <c:v>27</c:v>
                </c:pt>
                <c:pt idx="20">
                  <c:v>28</c:v>
                </c:pt>
                <c:pt idx="21">
                  <c:v>29</c:v>
                </c:pt>
                <c:pt idx="22">
                  <c:v>30</c:v>
                </c:pt>
                <c:pt idx="23">
                  <c:v>31</c:v>
                </c:pt>
                <c:pt idx="24">
                  <c:v>32</c:v>
                </c:pt>
                <c:pt idx="25">
                  <c:v>33</c:v>
                </c:pt>
                <c:pt idx="26">
                  <c:v>34</c:v>
                </c:pt>
                <c:pt idx="27">
                  <c:v>35</c:v>
                </c:pt>
                <c:pt idx="28">
                  <c:v>36</c:v>
                </c:pt>
                <c:pt idx="29">
                  <c:v>37</c:v>
                </c:pt>
                <c:pt idx="30">
                  <c:v>38</c:v>
                </c:pt>
                <c:pt idx="31">
                  <c:v>39</c:v>
                </c:pt>
                <c:pt idx="32">
                  <c:v>40</c:v>
                </c:pt>
                <c:pt idx="33">
                  <c:v>41</c:v>
                </c:pt>
                <c:pt idx="34">
                  <c:v>42</c:v>
                </c:pt>
                <c:pt idx="35">
                  <c:v>43</c:v>
                </c:pt>
                <c:pt idx="36">
                  <c:v>44</c:v>
                </c:pt>
                <c:pt idx="37">
                  <c:v>45</c:v>
                </c:pt>
                <c:pt idx="38">
                  <c:v>46</c:v>
                </c:pt>
                <c:pt idx="39">
                  <c:v>47</c:v>
                </c:pt>
                <c:pt idx="40">
                  <c:v>48</c:v>
                </c:pt>
                <c:pt idx="41">
                  <c:v>49</c:v>
                </c:pt>
                <c:pt idx="42">
                  <c:v>50</c:v>
                </c:pt>
                <c:pt idx="43">
                  <c:v>51</c:v>
                </c:pt>
                <c:pt idx="44">
                  <c:v>52</c:v>
                </c:pt>
                <c:pt idx="45">
                  <c:v>53</c:v>
                </c:pt>
                <c:pt idx="46">
                  <c:v>54</c:v>
                </c:pt>
                <c:pt idx="47">
                  <c:v>55</c:v>
                </c:pt>
                <c:pt idx="48">
                  <c:v>56</c:v>
                </c:pt>
                <c:pt idx="49">
                  <c:v>57</c:v>
                </c:pt>
                <c:pt idx="50">
                  <c:v>58</c:v>
                </c:pt>
                <c:pt idx="51">
                  <c:v>59</c:v>
                </c:pt>
                <c:pt idx="52">
                  <c:v>60</c:v>
                </c:pt>
                <c:pt idx="53">
                  <c:v>61</c:v>
                </c:pt>
                <c:pt idx="54">
                  <c:v>62</c:v>
                </c:pt>
                <c:pt idx="55">
                  <c:v>63</c:v>
                </c:pt>
                <c:pt idx="56">
                  <c:v>64</c:v>
                </c:pt>
                <c:pt idx="57">
                  <c:v>65</c:v>
                </c:pt>
                <c:pt idx="58">
                  <c:v>66</c:v>
                </c:pt>
                <c:pt idx="59">
                  <c:v>67</c:v>
                </c:pt>
                <c:pt idx="60">
                  <c:v>68</c:v>
                </c:pt>
                <c:pt idx="61">
                  <c:v>69</c:v>
                </c:pt>
                <c:pt idx="62">
                  <c:v>70</c:v>
                </c:pt>
                <c:pt idx="63">
                  <c:v>71</c:v>
                </c:pt>
                <c:pt idx="64">
                  <c:v>72</c:v>
                </c:pt>
                <c:pt idx="65">
                  <c:v>73</c:v>
                </c:pt>
                <c:pt idx="66">
                  <c:v>74</c:v>
                </c:pt>
                <c:pt idx="67">
                  <c:v>75</c:v>
                </c:pt>
                <c:pt idx="68">
                  <c:v>76</c:v>
                </c:pt>
                <c:pt idx="69">
                  <c:v>77</c:v>
                </c:pt>
                <c:pt idx="70">
                  <c:v>78</c:v>
                </c:pt>
                <c:pt idx="71">
                  <c:v>80</c:v>
                </c:pt>
                <c:pt idx="72">
                  <c:v>82</c:v>
                </c:pt>
                <c:pt idx="73">
                  <c:v>84</c:v>
                </c:pt>
                <c:pt idx="74">
                  <c:v>85</c:v>
                </c:pt>
                <c:pt idx="75">
                  <c:v>86</c:v>
                </c:pt>
                <c:pt idx="76">
                  <c:v>87</c:v>
                </c:pt>
                <c:pt idx="77">
                  <c:v>89</c:v>
                </c:pt>
                <c:pt idx="78">
                  <c:v>90</c:v>
                </c:pt>
                <c:pt idx="79">
                  <c:v>91</c:v>
                </c:pt>
                <c:pt idx="80">
                  <c:v>94</c:v>
                </c:pt>
                <c:pt idx="81">
                  <c:v>95</c:v>
                </c:pt>
                <c:pt idx="82">
                  <c:v>96</c:v>
                </c:pt>
                <c:pt idx="83">
                  <c:v>98</c:v>
                </c:pt>
                <c:pt idx="84">
                  <c:v>99</c:v>
                </c:pt>
              </c:numCache>
            </c:numRef>
          </c:xVal>
          <c:yVal>
            <c:numRef>
              <c:f>'hours (1)'!$R$19:$R$103</c:f>
              <c:numCache>
                <c:formatCode>0.000</c:formatCode>
                <c:ptCount val="85"/>
                <c:pt idx="0">
                  <c:v>0.37337480000000001</c:v>
                </c:pt>
                <c:pt idx="1">
                  <c:v>0.40762759999999998</c:v>
                </c:pt>
                <c:pt idx="2">
                  <c:v>0.34741250000000001</c:v>
                </c:pt>
                <c:pt idx="3">
                  <c:v>0.4200585</c:v>
                </c:pt>
                <c:pt idx="4">
                  <c:v>0.31006620000000001</c:v>
                </c:pt>
                <c:pt idx="5">
                  <c:v>0.30465110000000001</c:v>
                </c:pt>
                <c:pt idx="6">
                  <c:v>0.26885360000000003</c:v>
                </c:pt>
                <c:pt idx="7">
                  <c:v>0.30492930000000001</c:v>
                </c:pt>
                <c:pt idx="8">
                  <c:v>0.33918789999999999</c:v>
                </c:pt>
                <c:pt idx="9">
                  <c:v>0.22126979999999999</c:v>
                </c:pt>
                <c:pt idx="10">
                  <c:v>0.33377960000000001</c:v>
                </c:pt>
                <c:pt idx="11">
                  <c:v>0.36710520000000002</c:v>
                </c:pt>
                <c:pt idx="12">
                  <c:v>0.3448485</c:v>
                </c:pt>
                <c:pt idx="13">
                  <c:v>0.43148350000000002</c:v>
                </c:pt>
                <c:pt idx="14">
                  <c:v>0.3782507</c:v>
                </c:pt>
                <c:pt idx="15">
                  <c:v>0.35153129999999999</c:v>
                </c:pt>
                <c:pt idx="16">
                  <c:v>0.43736259999999999</c:v>
                </c:pt>
                <c:pt idx="17">
                  <c:v>0.3370669</c:v>
                </c:pt>
                <c:pt idx="18">
                  <c:v>0.40667360000000002</c:v>
                </c:pt>
                <c:pt idx="19">
                  <c:v>0.43528840000000002</c:v>
                </c:pt>
                <c:pt idx="20">
                  <c:v>0.40314290000000003</c:v>
                </c:pt>
                <c:pt idx="21">
                  <c:v>0.42967040000000001</c:v>
                </c:pt>
                <c:pt idx="22">
                  <c:v>0.35903829999999998</c:v>
                </c:pt>
                <c:pt idx="23">
                  <c:v>0.45219009999999998</c:v>
                </c:pt>
                <c:pt idx="24">
                  <c:v>0.4390754</c:v>
                </c:pt>
                <c:pt idx="25">
                  <c:v>0.40070840000000002</c:v>
                </c:pt>
                <c:pt idx="26">
                  <c:v>0.42053049999999997</c:v>
                </c:pt>
                <c:pt idx="27">
                  <c:v>0.39395010000000003</c:v>
                </c:pt>
                <c:pt idx="28">
                  <c:v>0.47304990000000002</c:v>
                </c:pt>
                <c:pt idx="29">
                  <c:v>0.490504</c:v>
                </c:pt>
                <c:pt idx="30">
                  <c:v>0.46744780000000002</c:v>
                </c:pt>
                <c:pt idx="31">
                  <c:v>0.45626159999999999</c:v>
                </c:pt>
                <c:pt idx="32">
                  <c:v>0.51070130000000002</c:v>
                </c:pt>
                <c:pt idx="33">
                  <c:v>0.50415109999999996</c:v>
                </c:pt>
                <c:pt idx="34">
                  <c:v>0.53970450000000003</c:v>
                </c:pt>
                <c:pt idx="35">
                  <c:v>0.55631969999999997</c:v>
                </c:pt>
                <c:pt idx="36">
                  <c:v>0.56446580000000002</c:v>
                </c:pt>
                <c:pt idx="37">
                  <c:v>0.58621040000000002</c:v>
                </c:pt>
                <c:pt idx="38">
                  <c:v>0.50548329999999997</c:v>
                </c:pt>
                <c:pt idx="39">
                  <c:v>0.54879549999999999</c:v>
                </c:pt>
                <c:pt idx="40">
                  <c:v>0.52065260000000002</c:v>
                </c:pt>
                <c:pt idx="41">
                  <c:v>0.61686960000000002</c:v>
                </c:pt>
                <c:pt idx="42">
                  <c:v>0.63882879999999997</c:v>
                </c:pt>
                <c:pt idx="43">
                  <c:v>0.4348612</c:v>
                </c:pt>
                <c:pt idx="44">
                  <c:v>0.56462840000000003</c:v>
                </c:pt>
                <c:pt idx="45">
                  <c:v>0.60408070000000003</c:v>
                </c:pt>
                <c:pt idx="46">
                  <c:v>0.48746240000000002</c:v>
                </c:pt>
                <c:pt idx="47">
                  <c:v>0.64636680000000002</c:v>
                </c:pt>
                <c:pt idx="48">
                  <c:v>0.6069483</c:v>
                </c:pt>
                <c:pt idx="49">
                  <c:v>0.65179659999999995</c:v>
                </c:pt>
                <c:pt idx="50">
                  <c:v>0.65358570000000005</c:v>
                </c:pt>
                <c:pt idx="51">
                  <c:v>0.60867930000000003</c:v>
                </c:pt>
                <c:pt idx="52">
                  <c:v>0.63451679999999999</c:v>
                </c:pt>
                <c:pt idx="53">
                  <c:v>0.68798179999999998</c:v>
                </c:pt>
                <c:pt idx="54">
                  <c:v>0.42630600000000002</c:v>
                </c:pt>
                <c:pt idx="55">
                  <c:v>0.27394940000000001</c:v>
                </c:pt>
                <c:pt idx="56">
                  <c:v>0.64857960000000003</c:v>
                </c:pt>
                <c:pt idx="57">
                  <c:v>0.64253839999999995</c:v>
                </c:pt>
                <c:pt idx="58">
                  <c:v>0.52405659999999998</c:v>
                </c:pt>
                <c:pt idx="59">
                  <c:v>0.75077660000000002</c:v>
                </c:pt>
                <c:pt idx="60">
                  <c:v>0.56464639999999999</c:v>
                </c:pt>
                <c:pt idx="61">
                  <c:v>0.39417819999999998</c:v>
                </c:pt>
                <c:pt idx="62">
                  <c:v>0.61088410000000004</c:v>
                </c:pt>
                <c:pt idx="63">
                  <c:v>0.90797059999999996</c:v>
                </c:pt>
                <c:pt idx="64">
                  <c:v>0.44799260000000002</c:v>
                </c:pt>
                <c:pt idx="65">
                  <c:v>0.2033847</c:v>
                </c:pt>
                <c:pt idx="66">
                  <c:v>0.71303989999999995</c:v>
                </c:pt>
                <c:pt idx="67">
                  <c:v>0.59608570000000005</c:v>
                </c:pt>
                <c:pt idx="68">
                  <c:v>0.70606769999999996</c:v>
                </c:pt>
                <c:pt idx="69">
                  <c:v>0.53383530000000001</c:v>
                </c:pt>
                <c:pt idx="70">
                  <c:v>0.36833379999999999</c:v>
                </c:pt>
                <c:pt idx="71">
                  <c:v>0.5776192</c:v>
                </c:pt>
                <c:pt idx="72">
                  <c:v>1</c:v>
                </c:pt>
                <c:pt idx="73">
                  <c:v>0.68633549999999999</c:v>
                </c:pt>
                <c:pt idx="74">
                  <c:v>0.61262369999999999</c:v>
                </c:pt>
                <c:pt idx="75">
                  <c:v>0.87046049999999997</c:v>
                </c:pt>
                <c:pt idx="76">
                  <c:v>0</c:v>
                </c:pt>
                <c:pt idx="77">
                  <c:v>1</c:v>
                </c:pt>
                <c:pt idx="78">
                  <c:v>0.69639930000000005</c:v>
                </c:pt>
                <c:pt idx="79">
                  <c:v>0.59170339999999999</c:v>
                </c:pt>
                <c:pt idx="80">
                  <c:v>0</c:v>
                </c:pt>
                <c:pt idx="81">
                  <c:v>0.71949980000000002</c:v>
                </c:pt>
                <c:pt idx="82">
                  <c:v>0.5881362</c:v>
                </c:pt>
                <c:pt idx="83">
                  <c:v>0.96912310000000002</c:v>
                </c:pt>
                <c:pt idx="84">
                  <c:v>0.57062349999999995</c:v>
                </c:pt>
              </c:numCache>
            </c:numRef>
          </c:yVal>
          <c:smooth val="0"/>
        </c:ser>
        <c:ser>
          <c:idx val="1"/>
          <c:order val="2"/>
          <c:tx>
            <c:strRef>
              <c:f>'hours (1)'!$Q$18</c:f>
              <c:strCache>
                <c:ptCount val="1"/>
                <c:pt idx="0">
                  <c:v>unmarried HH head</c:v>
                </c:pt>
              </c:strCache>
            </c:strRef>
          </c:tx>
          <c:spPr>
            <a:ln w="38100">
              <a:solidFill>
                <a:srgbClr val="FF0000"/>
              </a:solidFill>
            </a:ln>
          </c:spPr>
          <c:marker>
            <c:symbol val="none"/>
          </c:marker>
          <c:xVal>
            <c:numRef>
              <c:f>'hours (1)'!$A$19:$A$103</c:f>
              <c:numCache>
                <c:formatCode>General</c:formatCode>
                <c:ptCount val="85"/>
                <c:pt idx="0">
                  <c:v>8</c:v>
                </c:pt>
                <c:pt idx="1">
                  <c:v>9</c:v>
                </c:pt>
                <c:pt idx="2">
                  <c:v>10</c:v>
                </c:pt>
                <c:pt idx="3">
                  <c:v>11</c:v>
                </c:pt>
                <c:pt idx="4">
                  <c:v>12</c:v>
                </c:pt>
                <c:pt idx="5">
                  <c:v>13</c:v>
                </c:pt>
                <c:pt idx="6">
                  <c:v>14</c:v>
                </c:pt>
                <c:pt idx="7">
                  <c:v>15</c:v>
                </c:pt>
                <c:pt idx="8">
                  <c:v>16</c:v>
                </c:pt>
                <c:pt idx="9">
                  <c:v>17</c:v>
                </c:pt>
                <c:pt idx="10">
                  <c:v>18</c:v>
                </c:pt>
                <c:pt idx="11">
                  <c:v>19</c:v>
                </c:pt>
                <c:pt idx="12">
                  <c:v>20</c:v>
                </c:pt>
                <c:pt idx="13">
                  <c:v>21</c:v>
                </c:pt>
                <c:pt idx="14">
                  <c:v>22</c:v>
                </c:pt>
                <c:pt idx="15">
                  <c:v>23</c:v>
                </c:pt>
                <c:pt idx="16">
                  <c:v>24</c:v>
                </c:pt>
                <c:pt idx="17">
                  <c:v>25</c:v>
                </c:pt>
                <c:pt idx="18">
                  <c:v>26</c:v>
                </c:pt>
                <c:pt idx="19">
                  <c:v>27</c:v>
                </c:pt>
                <c:pt idx="20">
                  <c:v>28</c:v>
                </c:pt>
                <c:pt idx="21">
                  <c:v>29</c:v>
                </c:pt>
                <c:pt idx="22">
                  <c:v>30</c:v>
                </c:pt>
                <c:pt idx="23">
                  <c:v>31</c:v>
                </c:pt>
                <c:pt idx="24">
                  <c:v>32</c:v>
                </c:pt>
                <c:pt idx="25">
                  <c:v>33</c:v>
                </c:pt>
                <c:pt idx="26">
                  <c:v>34</c:v>
                </c:pt>
                <c:pt idx="27">
                  <c:v>35</c:v>
                </c:pt>
                <c:pt idx="28">
                  <c:v>36</c:v>
                </c:pt>
                <c:pt idx="29">
                  <c:v>37</c:v>
                </c:pt>
                <c:pt idx="30">
                  <c:v>38</c:v>
                </c:pt>
                <c:pt idx="31">
                  <c:v>39</c:v>
                </c:pt>
                <c:pt idx="32">
                  <c:v>40</c:v>
                </c:pt>
                <c:pt idx="33">
                  <c:v>41</c:v>
                </c:pt>
                <c:pt idx="34">
                  <c:v>42</c:v>
                </c:pt>
                <c:pt idx="35">
                  <c:v>43</c:v>
                </c:pt>
                <c:pt idx="36">
                  <c:v>44</c:v>
                </c:pt>
                <c:pt idx="37">
                  <c:v>45</c:v>
                </c:pt>
                <c:pt idx="38">
                  <c:v>46</c:v>
                </c:pt>
                <c:pt idx="39">
                  <c:v>47</c:v>
                </c:pt>
                <c:pt idx="40">
                  <c:v>48</c:v>
                </c:pt>
                <c:pt idx="41">
                  <c:v>49</c:v>
                </c:pt>
                <c:pt idx="42">
                  <c:v>50</c:v>
                </c:pt>
                <c:pt idx="43">
                  <c:v>51</c:v>
                </c:pt>
                <c:pt idx="44">
                  <c:v>52</c:v>
                </c:pt>
                <c:pt idx="45">
                  <c:v>53</c:v>
                </c:pt>
                <c:pt idx="46">
                  <c:v>54</c:v>
                </c:pt>
                <c:pt idx="47">
                  <c:v>55</c:v>
                </c:pt>
                <c:pt idx="48">
                  <c:v>56</c:v>
                </c:pt>
                <c:pt idx="49">
                  <c:v>57</c:v>
                </c:pt>
                <c:pt idx="50">
                  <c:v>58</c:v>
                </c:pt>
                <c:pt idx="51">
                  <c:v>59</c:v>
                </c:pt>
                <c:pt idx="52">
                  <c:v>60</c:v>
                </c:pt>
                <c:pt idx="53">
                  <c:v>61</c:v>
                </c:pt>
                <c:pt idx="54">
                  <c:v>62</c:v>
                </c:pt>
                <c:pt idx="55">
                  <c:v>63</c:v>
                </c:pt>
                <c:pt idx="56">
                  <c:v>64</c:v>
                </c:pt>
                <c:pt idx="57">
                  <c:v>65</c:v>
                </c:pt>
                <c:pt idx="58">
                  <c:v>66</c:v>
                </c:pt>
                <c:pt idx="59">
                  <c:v>67</c:v>
                </c:pt>
                <c:pt idx="60">
                  <c:v>68</c:v>
                </c:pt>
                <c:pt idx="61">
                  <c:v>69</c:v>
                </c:pt>
                <c:pt idx="62">
                  <c:v>70</c:v>
                </c:pt>
                <c:pt idx="63">
                  <c:v>71</c:v>
                </c:pt>
                <c:pt idx="64">
                  <c:v>72</c:v>
                </c:pt>
                <c:pt idx="65">
                  <c:v>73</c:v>
                </c:pt>
                <c:pt idx="66">
                  <c:v>74</c:v>
                </c:pt>
                <c:pt idx="67">
                  <c:v>75</c:v>
                </c:pt>
                <c:pt idx="68">
                  <c:v>76</c:v>
                </c:pt>
                <c:pt idx="69">
                  <c:v>77</c:v>
                </c:pt>
                <c:pt idx="70">
                  <c:v>78</c:v>
                </c:pt>
                <c:pt idx="71">
                  <c:v>80</c:v>
                </c:pt>
                <c:pt idx="72">
                  <c:v>82</c:v>
                </c:pt>
                <c:pt idx="73">
                  <c:v>84</c:v>
                </c:pt>
                <c:pt idx="74">
                  <c:v>85</c:v>
                </c:pt>
                <c:pt idx="75">
                  <c:v>86</c:v>
                </c:pt>
                <c:pt idx="76">
                  <c:v>87</c:v>
                </c:pt>
                <c:pt idx="77">
                  <c:v>89</c:v>
                </c:pt>
                <c:pt idx="78">
                  <c:v>90</c:v>
                </c:pt>
                <c:pt idx="79">
                  <c:v>91</c:v>
                </c:pt>
                <c:pt idx="80">
                  <c:v>94</c:v>
                </c:pt>
                <c:pt idx="81">
                  <c:v>95</c:v>
                </c:pt>
                <c:pt idx="82">
                  <c:v>96</c:v>
                </c:pt>
                <c:pt idx="83">
                  <c:v>98</c:v>
                </c:pt>
                <c:pt idx="84">
                  <c:v>99</c:v>
                </c:pt>
              </c:numCache>
            </c:numRef>
          </c:xVal>
          <c:yVal>
            <c:numRef>
              <c:f>'hours (1)'!$Q$19:$Q$103</c:f>
              <c:numCache>
                <c:formatCode>0.000</c:formatCode>
                <c:ptCount val="85"/>
                <c:pt idx="0">
                  <c:v>6.2070699999999999E-2</c:v>
                </c:pt>
                <c:pt idx="1">
                  <c:v>0.12976370000000001</c:v>
                </c:pt>
                <c:pt idx="2">
                  <c:v>8.5713600000000001E-2</c:v>
                </c:pt>
                <c:pt idx="3">
                  <c:v>4.0630899999999998E-2</c:v>
                </c:pt>
                <c:pt idx="4">
                  <c:v>7.3302199999999998E-2</c:v>
                </c:pt>
                <c:pt idx="5">
                  <c:v>9.8919999999999994E-2</c:v>
                </c:pt>
                <c:pt idx="6">
                  <c:v>0.13920969999999999</c:v>
                </c:pt>
                <c:pt idx="7">
                  <c:v>7.2752399999999995E-2</c:v>
                </c:pt>
                <c:pt idx="8">
                  <c:v>0.1026349</c:v>
                </c:pt>
                <c:pt idx="9">
                  <c:v>0.1681725</c:v>
                </c:pt>
                <c:pt idx="10">
                  <c:v>0.1233119</c:v>
                </c:pt>
                <c:pt idx="11">
                  <c:v>5.8919100000000002E-2</c:v>
                </c:pt>
                <c:pt idx="12">
                  <c:v>0.1102867</c:v>
                </c:pt>
                <c:pt idx="13">
                  <c:v>0.1230545</c:v>
                </c:pt>
                <c:pt idx="14">
                  <c:v>0.148364</c:v>
                </c:pt>
                <c:pt idx="15">
                  <c:v>0.15631200000000001</c:v>
                </c:pt>
                <c:pt idx="16">
                  <c:v>0.1022044</c:v>
                </c:pt>
                <c:pt idx="17">
                  <c:v>0.14164450000000001</c:v>
                </c:pt>
                <c:pt idx="18">
                  <c:v>0.17722060000000001</c:v>
                </c:pt>
                <c:pt idx="19">
                  <c:v>0.1043721</c:v>
                </c:pt>
                <c:pt idx="20">
                  <c:v>0.178478</c:v>
                </c:pt>
                <c:pt idx="21">
                  <c:v>0.17476269999999999</c:v>
                </c:pt>
                <c:pt idx="22">
                  <c:v>0.17749980000000001</c:v>
                </c:pt>
                <c:pt idx="23">
                  <c:v>0.4441678</c:v>
                </c:pt>
                <c:pt idx="24">
                  <c:v>0.2044311</c:v>
                </c:pt>
                <c:pt idx="25">
                  <c:v>0.26981290000000002</c:v>
                </c:pt>
                <c:pt idx="26">
                  <c:v>0.22971739999999999</c:v>
                </c:pt>
                <c:pt idx="27">
                  <c:v>0.2198812</c:v>
                </c:pt>
                <c:pt idx="28">
                  <c:v>0.26112200000000002</c:v>
                </c:pt>
                <c:pt idx="29">
                  <c:v>0.27591120000000002</c:v>
                </c:pt>
                <c:pt idx="30">
                  <c:v>0.29535980000000001</c:v>
                </c:pt>
                <c:pt idx="31">
                  <c:v>0.2962032</c:v>
                </c:pt>
                <c:pt idx="32">
                  <c:v>0.23302239999999999</c:v>
                </c:pt>
                <c:pt idx="33">
                  <c:v>0.27163860000000001</c:v>
                </c:pt>
                <c:pt idx="34">
                  <c:v>0.29160639999999999</c:v>
                </c:pt>
                <c:pt idx="35">
                  <c:v>0.30588710000000002</c:v>
                </c:pt>
                <c:pt idx="36">
                  <c:v>0.24781359999999999</c:v>
                </c:pt>
                <c:pt idx="37">
                  <c:v>0.25828610000000002</c:v>
                </c:pt>
                <c:pt idx="38">
                  <c:v>0.37436209999999998</c:v>
                </c:pt>
                <c:pt idx="39">
                  <c:v>0.29114990000000002</c:v>
                </c:pt>
                <c:pt idx="40">
                  <c:v>0.24563009999999999</c:v>
                </c:pt>
                <c:pt idx="41">
                  <c:v>0.25268089999999999</c:v>
                </c:pt>
                <c:pt idx="42">
                  <c:v>0.22415679999999999</c:v>
                </c:pt>
                <c:pt idx="43">
                  <c:v>5.2831799999999998E-2</c:v>
                </c:pt>
                <c:pt idx="44">
                  <c:v>0.1730804</c:v>
                </c:pt>
                <c:pt idx="45">
                  <c:v>0.29262549999999998</c:v>
                </c:pt>
                <c:pt idx="46">
                  <c:v>0.2567374</c:v>
                </c:pt>
                <c:pt idx="47">
                  <c:v>0.219777</c:v>
                </c:pt>
                <c:pt idx="48">
                  <c:v>0.18101310000000001</c:v>
                </c:pt>
                <c:pt idx="49">
                  <c:v>0.27484189999999997</c:v>
                </c:pt>
                <c:pt idx="50">
                  <c:v>0.27946320000000002</c:v>
                </c:pt>
                <c:pt idx="51">
                  <c:v>0.15003920000000001</c:v>
                </c:pt>
                <c:pt idx="52">
                  <c:v>0.21263199999999999</c:v>
                </c:pt>
                <c:pt idx="53">
                  <c:v>0.31201820000000002</c:v>
                </c:pt>
                <c:pt idx="54">
                  <c:v>0.50146740000000001</c:v>
                </c:pt>
                <c:pt idx="55">
                  <c:v>0.21643129999999999</c:v>
                </c:pt>
                <c:pt idx="56">
                  <c:v>0.35142040000000002</c:v>
                </c:pt>
                <c:pt idx="57">
                  <c:v>0.22490599999999999</c:v>
                </c:pt>
                <c:pt idx="58">
                  <c:v>0.29900510000000002</c:v>
                </c:pt>
                <c:pt idx="59">
                  <c:v>0.24922340000000001</c:v>
                </c:pt>
                <c:pt idx="60">
                  <c:v>0.29032210000000003</c:v>
                </c:pt>
                <c:pt idx="61">
                  <c:v>0</c:v>
                </c:pt>
                <c:pt idx="62">
                  <c:v>0.24356620000000001</c:v>
                </c:pt>
                <c:pt idx="63">
                  <c:v>0</c:v>
                </c:pt>
                <c:pt idx="64">
                  <c:v>0.2497326</c:v>
                </c:pt>
                <c:pt idx="65">
                  <c:v>0.79661530000000003</c:v>
                </c:pt>
                <c:pt idx="66">
                  <c:v>0.26066699999999998</c:v>
                </c:pt>
                <c:pt idx="67">
                  <c:v>0.30473440000000002</c:v>
                </c:pt>
                <c:pt idx="68">
                  <c:v>0</c:v>
                </c:pt>
                <c:pt idx="69">
                  <c:v>0</c:v>
                </c:pt>
                <c:pt idx="70">
                  <c:v>0.26215749999999999</c:v>
                </c:pt>
                <c:pt idx="71">
                  <c:v>0.23549590000000001</c:v>
                </c:pt>
                <c:pt idx="72">
                  <c:v>0</c:v>
                </c:pt>
                <c:pt idx="73">
                  <c:v>0.1546633</c:v>
                </c:pt>
                <c:pt idx="74">
                  <c:v>0.2101635</c:v>
                </c:pt>
                <c:pt idx="75">
                  <c:v>0</c:v>
                </c:pt>
                <c:pt idx="76">
                  <c:v>0</c:v>
                </c:pt>
                <c:pt idx="77">
                  <c:v>0</c:v>
                </c:pt>
                <c:pt idx="78">
                  <c:v>0.23510339999999999</c:v>
                </c:pt>
                <c:pt idx="79">
                  <c:v>0</c:v>
                </c:pt>
                <c:pt idx="80">
                  <c:v>1</c:v>
                </c:pt>
                <c:pt idx="81">
                  <c:v>0.28050019999999998</c:v>
                </c:pt>
                <c:pt idx="82">
                  <c:v>9.2547199999999996E-2</c:v>
                </c:pt>
                <c:pt idx="83">
                  <c:v>0</c:v>
                </c:pt>
                <c:pt idx="84">
                  <c:v>0.17672930000000001</c:v>
                </c:pt>
              </c:numCache>
            </c:numRef>
          </c:yVal>
          <c:smooth val="0"/>
        </c:ser>
        <c:ser>
          <c:idx val="3"/>
          <c:order val="3"/>
          <c:tx>
            <c:strRef>
              <c:f>'hours (1)'!$S$18</c:f>
              <c:strCache>
                <c:ptCount val="1"/>
                <c:pt idx="0">
                  <c:v>elderly</c:v>
                </c:pt>
              </c:strCache>
            </c:strRef>
          </c:tx>
          <c:spPr>
            <a:ln w="38100">
              <a:solidFill>
                <a:schemeClr val="tx1"/>
              </a:solidFill>
            </a:ln>
          </c:spPr>
          <c:marker>
            <c:symbol val="none"/>
          </c:marker>
          <c:xVal>
            <c:numRef>
              <c:f>'hours (1)'!$A$19:$A$103</c:f>
              <c:numCache>
                <c:formatCode>General</c:formatCode>
                <c:ptCount val="85"/>
                <c:pt idx="0">
                  <c:v>8</c:v>
                </c:pt>
                <c:pt idx="1">
                  <c:v>9</c:v>
                </c:pt>
                <c:pt idx="2">
                  <c:v>10</c:v>
                </c:pt>
                <c:pt idx="3">
                  <c:v>11</c:v>
                </c:pt>
                <c:pt idx="4">
                  <c:v>12</c:v>
                </c:pt>
                <c:pt idx="5">
                  <c:v>13</c:v>
                </c:pt>
                <c:pt idx="6">
                  <c:v>14</c:v>
                </c:pt>
                <c:pt idx="7">
                  <c:v>15</c:v>
                </c:pt>
                <c:pt idx="8">
                  <c:v>16</c:v>
                </c:pt>
                <c:pt idx="9">
                  <c:v>17</c:v>
                </c:pt>
                <c:pt idx="10">
                  <c:v>18</c:v>
                </c:pt>
                <c:pt idx="11">
                  <c:v>19</c:v>
                </c:pt>
                <c:pt idx="12">
                  <c:v>20</c:v>
                </c:pt>
                <c:pt idx="13">
                  <c:v>21</c:v>
                </c:pt>
                <c:pt idx="14">
                  <c:v>22</c:v>
                </c:pt>
                <c:pt idx="15">
                  <c:v>23</c:v>
                </c:pt>
                <c:pt idx="16">
                  <c:v>24</c:v>
                </c:pt>
                <c:pt idx="17">
                  <c:v>25</c:v>
                </c:pt>
                <c:pt idx="18">
                  <c:v>26</c:v>
                </c:pt>
                <c:pt idx="19">
                  <c:v>27</c:v>
                </c:pt>
                <c:pt idx="20">
                  <c:v>28</c:v>
                </c:pt>
                <c:pt idx="21">
                  <c:v>29</c:v>
                </c:pt>
                <c:pt idx="22">
                  <c:v>30</c:v>
                </c:pt>
                <c:pt idx="23">
                  <c:v>31</c:v>
                </c:pt>
                <c:pt idx="24">
                  <c:v>32</c:v>
                </c:pt>
                <c:pt idx="25">
                  <c:v>33</c:v>
                </c:pt>
                <c:pt idx="26">
                  <c:v>34</c:v>
                </c:pt>
                <c:pt idx="27">
                  <c:v>35</c:v>
                </c:pt>
                <c:pt idx="28">
                  <c:v>36</c:v>
                </c:pt>
                <c:pt idx="29">
                  <c:v>37</c:v>
                </c:pt>
                <c:pt idx="30">
                  <c:v>38</c:v>
                </c:pt>
                <c:pt idx="31">
                  <c:v>39</c:v>
                </c:pt>
                <c:pt idx="32">
                  <c:v>40</c:v>
                </c:pt>
                <c:pt idx="33">
                  <c:v>41</c:v>
                </c:pt>
                <c:pt idx="34">
                  <c:v>42</c:v>
                </c:pt>
                <c:pt idx="35">
                  <c:v>43</c:v>
                </c:pt>
                <c:pt idx="36">
                  <c:v>44</c:v>
                </c:pt>
                <c:pt idx="37">
                  <c:v>45</c:v>
                </c:pt>
                <c:pt idx="38">
                  <c:v>46</c:v>
                </c:pt>
                <c:pt idx="39">
                  <c:v>47</c:v>
                </c:pt>
                <c:pt idx="40">
                  <c:v>48</c:v>
                </c:pt>
                <c:pt idx="41">
                  <c:v>49</c:v>
                </c:pt>
                <c:pt idx="42">
                  <c:v>50</c:v>
                </c:pt>
                <c:pt idx="43">
                  <c:v>51</c:v>
                </c:pt>
                <c:pt idx="44">
                  <c:v>52</c:v>
                </c:pt>
                <c:pt idx="45">
                  <c:v>53</c:v>
                </c:pt>
                <c:pt idx="46">
                  <c:v>54</c:v>
                </c:pt>
                <c:pt idx="47">
                  <c:v>55</c:v>
                </c:pt>
                <c:pt idx="48">
                  <c:v>56</c:v>
                </c:pt>
                <c:pt idx="49">
                  <c:v>57</c:v>
                </c:pt>
                <c:pt idx="50">
                  <c:v>58</c:v>
                </c:pt>
                <c:pt idx="51">
                  <c:v>59</c:v>
                </c:pt>
                <c:pt idx="52">
                  <c:v>60</c:v>
                </c:pt>
                <c:pt idx="53">
                  <c:v>61</c:v>
                </c:pt>
                <c:pt idx="54">
                  <c:v>62</c:v>
                </c:pt>
                <c:pt idx="55">
                  <c:v>63</c:v>
                </c:pt>
                <c:pt idx="56">
                  <c:v>64</c:v>
                </c:pt>
                <c:pt idx="57">
                  <c:v>65</c:v>
                </c:pt>
                <c:pt idx="58">
                  <c:v>66</c:v>
                </c:pt>
                <c:pt idx="59">
                  <c:v>67</c:v>
                </c:pt>
                <c:pt idx="60">
                  <c:v>68</c:v>
                </c:pt>
                <c:pt idx="61">
                  <c:v>69</c:v>
                </c:pt>
                <c:pt idx="62">
                  <c:v>70</c:v>
                </c:pt>
                <c:pt idx="63">
                  <c:v>71</c:v>
                </c:pt>
                <c:pt idx="64">
                  <c:v>72</c:v>
                </c:pt>
                <c:pt idx="65">
                  <c:v>73</c:v>
                </c:pt>
                <c:pt idx="66">
                  <c:v>74</c:v>
                </c:pt>
                <c:pt idx="67">
                  <c:v>75</c:v>
                </c:pt>
                <c:pt idx="68">
                  <c:v>76</c:v>
                </c:pt>
                <c:pt idx="69">
                  <c:v>77</c:v>
                </c:pt>
                <c:pt idx="70">
                  <c:v>78</c:v>
                </c:pt>
                <c:pt idx="71">
                  <c:v>80</c:v>
                </c:pt>
                <c:pt idx="72">
                  <c:v>82</c:v>
                </c:pt>
                <c:pt idx="73">
                  <c:v>84</c:v>
                </c:pt>
                <c:pt idx="74">
                  <c:v>85</c:v>
                </c:pt>
                <c:pt idx="75">
                  <c:v>86</c:v>
                </c:pt>
                <c:pt idx="76">
                  <c:v>87</c:v>
                </c:pt>
                <c:pt idx="77">
                  <c:v>89</c:v>
                </c:pt>
                <c:pt idx="78">
                  <c:v>90</c:v>
                </c:pt>
                <c:pt idx="79">
                  <c:v>91</c:v>
                </c:pt>
                <c:pt idx="80">
                  <c:v>94</c:v>
                </c:pt>
                <c:pt idx="81">
                  <c:v>95</c:v>
                </c:pt>
                <c:pt idx="82">
                  <c:v>96</c:v>
                </c:pt>
                <c:pt idx="83">
                  <c:v>98</c:v>
                </c:pt>
                <c:pt idx="84">
                  <c:v>99</c:v>
                </c:pt>
              </c:numCache>
            </c:numRef>
          </c:xVal>
          <c:yVal>
            <c:numRef>
              <c:f>'hours (1)'!$S$19:$S$103</c:f>
              <c:numCache>
                <c:formatCode>0.000</c:formatCode>
                <c:ptCount val="85"/>
                <c:pt idx="0">
                  <c:v>0.12937589999999999</c:v>
                </c:pt>
                <c:pt idx="1">
                  <c:v>8.8333999999999996E-2</c:v>
                </c:pt>
                <c:pt idx="2">
                  <c:v>0.1198032</c:v>
                </c:pt>
                <c:pt idx="3">
                  <c:v>0.23591090000000001</c:v>
                </c:pt>
                <c:pt idx="4">
                  <c:v>0.11133759999999999</c:v>
                </c:pt>
                <c:pt idx="5">
                  <c:v>0.16142889999999999</c:v>
                </c:pt>
                <c:pt idx="6">
                  <c:v>0.1788448</c:v>
                </c:pt>
                <c:pt idx="7">
                  <c:v>9.8837800000000003E-2</c:v>
                </c:pt>
                <c:pt idx="8">
                  <c:v>0.1306966</c:v>
                </c:pt>
                <c:pt idx="9">
                  <c:v>5.5389599999999997E-2</c:v>
                </c:pt>
                <c:pt idx="10">
                  <c:v>0.11921900000000001</c:v>
                </c:pt>
                <c:pt idx="11">
                  <c:v>6.4019499999999993E-2</c:v>
                </c:pt>
                <c:pt idx="12">
                  <c:v>8.20689E-2</c:v>
                </c:pt>
                <c:pt idx="13">
                  <c:v>0.138458</c:v>
                </c:pt>
                <c:pt idx="14">
                  <c:v>5.9747300000000003E-2</c:v>
                </c:pt>
                <c:pt idx="15">
                  <c:v>9.2072500000000002E-2</c:v>
                </c:pt>
                <c:pt idx="16">
                  <c:v>0.11052099999999999</c:v>
                </c:pt>
                <c:pt idx="17">
                  <c:v>7.21049E-2</c:v>
                </c:pt>
                <c:pt idx="18">
                  <c:v>2.1316999999999998E-3</c:v>
                </c:pt>
                <c:pt idx="19">
                  <c:v>8.2342299999999993E-2</c:v>
                </c:pt>
                <c:pt idx="20">
                  <c:v>7.7296799999999999E-2</c:v>
                </c:pt>
                <c:pt idx="21">
                  <c:v>0.1247216</c:v>
                </c:pt>
                <c:pt idx="22">
                  <c:v>4.5966199999999999E-2</c:v>
                </c:pt>
                <c:pt idx="23">
                  <c:v>3.3814299999999999E-2</c:v>
                </c:pt>
                <c:pt idx="24">
                  <c:v>4.7721399999999997E-2</c:v>
                </c:pt>
                <c:pt idx="25">
                  <c:v>8.1906999999999994E-2</c:v>
                </c:pt>
                <c:pt idx="26">
                  <c:v>4.4749499999999998E-2</c:v>
                </c:pt>
                <c:pt idx="27">
                  <c:v>5.0519399999999999E-2</c:v>
                </c:pt>
                <c:pt idx="28">
                  <c:v>3.48013E-2</c:v>
                </c:pt>
                <c:pt idx="29">
                  <c:v>3.9243E-2</c:v>
                </c:pt>
                <c:pt idx="30">
                  <c:v>3.9285800000000003E-2</c:v>
                </c:pt>
                <c:pt idx="31">
                  <c:v>2.7567700000000001E-2</c:v>
                </c:pt>
                <c:pt idx="32">
                  <c:v>2.83787E-2</c:v>
                </c:pt>
                <c:pt idx="33">
                  <c:v>3.4627400000000003E-2</c:v>
                </c:pt>
                <c:pt idx="34">
                  <c:v>1.6355999999999999E-2</c:v>
                </c:pt>
                <c:pt idx="35">
                  <c:v>2.61645E-2</c:v>
                </c:pt>
                <c:pt idx="36">
                  <c:v>2.0779800000000001E-2</c:v>
                </c:pt>
                <c:pt idx="37">
                  <c:v>2.1669600000000001E-2</c:v>
                </c:pt>
                <c:pt idx="38">
                  <c:v>6.7895999999999998E-3</c:v>
                </c:pt>
                <c:pt idx="39">
                  <c:v>2.51931E-2</c:v>
                </c:pt>
                <c:pt idx="40">
                  <c:v>2.0755900000000001E-2</c:v>
                </c:pt>
                <c:pt idx="41">
                  <c:v>0</c:v>
                </c:pt>
                <c:pt idx="42">
                  <c:v>2.2637299999999999E-2</c:v>
                </c:pt>
                <c:pt idx="43">
                  <c:v>0.3041353</c:v>
                </c:pt>
                <c:pt idx="44">
                  <c:v>2.0422200000000001E-2</c:v>
                </c:pt>
                <c:pt idx="45">
                  <c:v>0</c:v>
                </c:pt>
                <c:pt idx="46">
                  <c:v>3.7518799999999998E-2</c:v>
                </c:pt>
                <c:pt idx="47">
                  <c:v>2.5354700000000001E-2</c:v>
                </c:pt>
                <c:pt idx="48">
                  <c:v>2.96517E-2</c:v>
                </c:pt>
                <c:pt idx="49">
                  <c:v>0</c:v>
                </c:pt>
                <c:pt idx="50">
                  <c:v>2.4714099999999999E-2</c:v>
                </c:pt>
                <c:pt idx="51">
                  <c:v>0</c:v>
                </c:pt>
                <c:pt idx="52">
                  <c:v>2.7065200000000001E-2</c:v>
                </c:pt>
                <c:pt idx="53">
                  <c:v>0</c:v>
                </c:pt>
                <c:pt idx="54">
                  <c:v>0</c:v>
                </c:pt>
                <c:pt idx="55">
                  <c:v>0</c:v>
                </c:pt>
                <c:pt idx="56">
                  <c:v>0</c:v>
                </c:pt>
                <c:pt idx="57">
                  <c:v>2.3178199999999999E-2</c:v>
                </c:pt>
                <c:pt idx="58">
                  <c:v>7.2344900000000004E-2</c:v>
                </c:pt>
                <c:pt idx="59">
                  <c:v>0</c:v>
                </c:pt>
                <c:pt idx="60">
                  <c:v>0</c:v>
                </c:pt>
                <c:pt idx="61">
                  <c:v>0.60582179999999997</c:v>
                </c:pt>
                <c:pt idx="62">
                  <c:v>3.2104099999999997E-2</c:v>
                </c:pt>
                <c:pt idx="63">
                  <c:v>9.2029399999999997E-2</c:v>
                </c:pt>
                <c:pt idx="64">
                  <c:v>2.3595000000000001E-3</c:v>
                </c:pt>
                <c:pt idx="65">
                  <c:v>0</c:v>
                </c:pt>
                <c:pt idx="66">
                  <c:v>2.62931E-2</c:v>
                </c:pt>
                <c:pt idx="67">
                  <c:v>2.11854E-2</c:v>
                </c:pt>
                <c:pt idx="68">
                  <c:v>0</c:v>
                </c:pt>
                <c:pt idx="69">
                  <c:v>9.2772199999999999E-2</c:v>
                </c:pt>
                <c:pt idx="70">
                  <c:v>0</c:v>
                </c:pt>
                <c:pt idx="71">
                  <c:v>4.3744699999999997E-2</c:v>
                </c:pt>
                <c:pt idx="72">
                  <c:v>0</c:v>
                </c:pt>
                <c:pt idx="73">
                  <c:v>0</c:v>
                </c:pt>
                <c:pt idx="74">
                  <c:v>7.6012700000000002E-2</c:v>
                </c:pt>
                <c:pt idx="75">
                  <c:v>0</c:v>
                </c:pt>
                <c:pt idx="76">
                  <c:v>0</c:v>
                </c:pt>
                <c:pt idx="77">
                  <c:v>0</c:v>
                </c:pt>
                <c:pt idx="78">
                  <c:v>0</c:v>
                </c:pt>
                <c:pt idx="79">
                  <c:v>0</c:v>
                </c:pt>
                <c:pt idx="80">
                  <c:v>0</c:v>
                </c:pt>
                <c:pt idx="81">
                  <c:v>0</c:v>
                </c:pt>
                <c:pt idx="82">
                  <c:v>0</c:v>
                </c:pt>
                <c:pt idx="83">
                  <c:v>0</c:v>
                </c:pt>
                <c:pt idx="84">
                  <c:v>3.8699799999999999E-2</c:v>
                </c:pt>
              </c:numCache>
            </c:numRef>
          </c:yVal>
          <c:smooth val="0"/>
        </c:ser>
        <c:dLbls>
          <c:showLegendKey val="0"/>
          <c:showVal val="0"/>
          <c:showCatName val="0"/>
          <c:showSerName val="0"/>
          <c:showPercent val="0"/>
          <c:showBubbleSize val="0"/>
        </c:dLbls>
        <c:axId val="211518208"/>
        <c:axId val="211520128"/>
      </c:scatterChart>
      <c:valAx>
        <c:axId val="211518208"/>
        <c:scaling>
          <c:orientation val="minMax"/>
          <c:max val="60"/>
        </c:scaling>
        <c:delete val="0"/>
        <c:axPos val="b"/>
        <c:title>
          <c:tx>
            <c:rich>
              <a:bodyPr/>
              <a:lstStyle/>
              <a:p>
                <a:pPr>
                  <a:defRPr sz="1400"/>
                </a:pPr>
                <a:r>
                  <a:rPr lang="en-US" sz="1400"/>
                  <a:t>Hours per week in</a:t>
                </a:r>
                <a:r>
                  <a:rPr lang="en-US" sz="1400" baseline="0"/>
                  <a:t> 2011</a:t>
                </a:r>
                <a:endParaRPr lang="en-US" sz="1400"/>
              </a:p>
            </c:rich>
          </c:tx>
          <c:layout/>
          <c:overlay val="0"/>
        </c:title>
        <c:numFmt formatCode="General" sourceLinked="1"/>
        <c:majorTickMark val="out"/>
        <c:minorTickMark val="none"/>
        <c:tickLblPos val="nextTo"/>
        <c:txPr>
          <a:bodyPr/>
          <a:lstStyle/>
          <a:p>
            <a:pPr algn="ctr">
              <a:defRPr lang="en-US" sz="1200" b="0" i="0" u="none" strike="noStrike" kern="1200" baseline="0">
                <a:solidFill>
                  <a:sysClr val="windowText" lastClr="000000"/>
                </a:solidFill>
                <a:latin typeface="+mn-lt"/>
                <a:ea typeface="+mn-ea"/>
                <a:cs typeface="+mn-cs"/>
              </a:defRPr>
            </a:pPr>
            <a:endParaRPr lang="en-US"/>
          </a:p>
        </c:txPr>
        <c:crossAx val="211520128"/>
        <c:crosses val="autoZero"/>
        <c:crossBetween val="midCat"/>
      </c:valAx>
      <c:valAx>
        <c:axId val="211520128"/>
        <c:scaling>
          <c:orientation val="minMax"/>
          <c:max val="1"/>
        </c:scaling>
        <c:delete val="0"/>
        <c:axPos val="l"/>
        <c:title>
          <c:tx>
            <c:rich>
              <a:bodyPr rot="-5400000" vert="horz"/>
              <a:lstStyle/>
              <a:p>
                <a:pPr>
                  <a:defRPr sz="1400"/>
                </a:pPr>
                <a:r>
                  <a:rPr lang="en-US" sz="1400"/>
                  <a:t>share of cell</a:t>
                </a:r>
              </a:p>
            </c:rich>
          </c:tx>
          <c:layout/>
          <c:overlay val="0"/>
        </c:title>
        <c:numFmt formatCode="General" sourceLinked="0"/>
        <c:majorTickMark val="out"/>
        <c:minorTickMark val="none"/>
        <c:tickLblPos val="nextTo"/>
        <c:txPr>
          <a:bodyPr/>
          <a:lstStyle/>
          <a:p>
            <a:pPr>
              <a:defRPr sz="1200"/>
            </a:pPr>
            <a:endParaRPr lang="en-US"/>
          </a:p>
        </c:txPr>
        <c:crossAx val="211518208"/>
        <c:crosses val="autoZero"/>
        <c:crossBetween val="midCat"/>
      </c:valAx>
    </c:plotArea>
    <c:legend>
      <c:legendPos val="r"/>
      <c:layout>
        <c:manualLayout>
          <c:xMode val="edge"/>
          <c:yMode val="edge"/>
          <c:x val="0.62130771124302397"/>
          <c:y val="0.10638740177002701"/>
          <c:w val="0.34789731145284802"/>
          <c:h val="0.18144474010908501"/>
        </c:manualLayout>
      </c:layout>
      <c:overlay val="0"/>
      <c:txPr>
        <a:bodyPr/>
        <a:lstStyle/>
        <a:p>
          <a:pPr>
            <a:defRPr sz="1400"/>
          </a:pPr>
          <a:endParaRPr lang="en-US"/>
        </a:p>
      </c:txPr>
    </c:legend>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sheetPr/>
  <sheetViews>
    <sheetView zoomScale="144" workbookViewId="0" zoomToFit="1"/>
  </sheetViews>
  <pageMargins left="0.7" right="0.7" top="0.75" bottom="0.75" header="0.3" footer="0.3"/>
  <pageSetup orientation="landscape" horizontalDpi="1200" verticalDpi="1200"/>
  <drawing r:id="rId1"/>
</chartsheet>
</file>

<file path=xl/chartsheets/sheet2.xml><?xml version="1.0" encoding="utf-8"?>
<chartsheet xmlns="http://schemas.openxmlformats.org/spreadsheetml/2006/main" xmlns:r="http://schemas.openxmlformats.org/officeDocument/2006/relationships">
  <sheetPr/>
  <sheetViews>
    <sheetView zoomScale="144" workbookViewId="0" zoomToFit="1"/>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Pr/>
  <sheetViews>
    <sheetView zoomScale="14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8671719" cy="629708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71719" cy="629708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71719" cy="629708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0.66779</cdr:x>
      <cdr:y>0.94479</cdr:y>
    </cdr:from>
    <cdr:to>
      <cdr:x>0.98658</cdr:x>
      <cdr:y>0.99769</cdr:y>
    </cdr:to>
    <cdr:sp macro="" textlink="">
      <cdr:nvSpPr>
        <cdr:cNvPr id="2" name="TextBox 1"/>
        <cdr:cNvSpPr txBox="1"/>
      </cdr:nvSpPr>
      <cdr:spPr>
        <a:xfrm xmlns:a="http://schemas.openxmlformats.org/drawingml/2006/main">
          <a:off x="5787709" y="5942146"/>
          <a:ext cx="2762977" cy="33272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t>Note: 51-hour cell has only 13 observations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a:majorFont>
        <a:latin typeface="Arial"/>
        <a:ea typeface=""/>
        <a:cs typeface=""/>
        <a:font script="Jpan" typeface="ＭＳ Ｐゴシック"/>
        <a:font script="Hang" typeface="돋움"/>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Times New Roman"/>
        <a:ea typeface=""/>
        <a:cs typeface=""/>
        <a:font script="Jpan" typeface="ＭＳ Ｐ明朝"/>
        <a:font script="Hang" typeface="바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tabSelected="1" workbookViewId="0"/>
  </sheetViews>
  <sheetFormatPr defaultColWidth="8.875" defaultRowHeight="15" x14ac:dyDescent="0.25"/>
  <cols>
    <col min="1" max="1" width="18.125" style="85" bestFit="1" customWidth="1"/>
    <col min="2" max="16384" width="8.875" style="85"/>
  </cols>
  <sheetData>
    <row r="1" spans="1:2" ht="15.75" x14ac:dyDescent="0.25">
      <c r="A1" s="89" t="s">
        <v>219</v>
      </c>
    </row>
    <row r="2" spans="1:2" ht="15.75" x14ac:dyDescent="0.25">
      <c r="A2" s="86" t="s">
        <v>220</v>
      </c>
      <c r="B2" s="84"/>
    </row>
    <row r="3" spans="1:2" ht="15.75" x14ac:dyDescent="0.25">
      <c r="A3" s="89" t="s">
        <v>221</v>
      </c>
      <c r="B3" s="84"/>
    </row>
    <row r="4" spans="1:2" ht="15.75" x14ac:dyDescent="0.25">
      <c r="A4" s="90" t="s">
        <v>281</v>
      </c>
      <c r="B4" s="84"/>
    </row>
    <row r="5" spans="1:2" ht="15.75" x14ac:dyDescent="0.25">
      <c r="A5" s="87"/>
      <c r="B5" s="84"/>
    </row>
    <row r="6" spans="1:2" ht="15.75" x14ac:dyDescent="0.25">
      <c r="A6" s="90" t="s">
        <v>222</v>
      </c>
      <c r="B6" s="84"/>
    </row>
    <row r="7" spans="1:2" ht="15.75" x14ac:dyDescent="0.25">
      <c r="A7" s="84"/>
      <c r="B7" s="84"/>
    </row>
    <row r="8" spans="1:2" ht="15.75" x14ac:dyDescent="0.25">
      <c r="A8" s="88" t="s">
        <v>216</v>
      </c>
      <c r="B8" s="84"/>
    </row>
    <row r="9" spans="1:2" ht="15.75" x14ac:dyDescent="0.25">
      <c r="A9" s="84">
        <v>1</v>
      </c>
      <c r="B9" s="89" t="s">
        <v>223</v>
      </c>
    </row>
    <row r="10" spans="1:2" ht="15.75" x14ac:dyDescent="0.25">
      <c r="A10" s="84">
        <v>2</v>
      </c>
      <c r="B10" s="89" t="s">
        <v>224</v>
      </c>
    </row>
    <row r="11" spans="1:2" ht="15.75" x14ac:dyDescent="0.25">
      <c r="A11" s="84"/>
      <c r="B11" s="84"/>
    </row>
    <row r="12" spans="1:2" ht="15.75" x14ac:dyDescent="0.25">
      <c r="A12" s="84"/>
      <c r="B12" s="84"/>
    </row>
    <row r="13" spans="1:2" ht="15.75" x14ac:dyDescent="0.25">
      <c r="A13" s="88" t="s">
        <v>217</v>
      </c>
      <c r="B13" s="88" t="s">
        <v>218</v>
      </c>
    </row>
    <row r="14" spans="1:2" x14ac:dyDescent="0.25">
      <c r="A14" s="85" t="s">
        <v>225</v>
      </c>
      <c r="B14" s="85" t="s">
        <v>228</v>
      </c>
    </row>
    <row r="15" spans="1:2" x14ac:dyDescent="0.25">
      <c r="B15" s="85" t="s">
        <v>261</v>
      </c>
    </row>
    <row r="16" spans="1:2" x14ac:dyDescent="0.25">
      <c r="A16" s="85" t="s">
        <v>226</v>
      </c>
      <c r="B16" s="85" t="s">
        <v>227</v>
      </c>
    </row>
    <row r="17" spans="1:2" x14ac:dyDescent="0.25">
      <c r="A17" s="85" t="s">
        <v>229</v>
      </c>
      <c r="B17" s="85" t="s">
        <v>255</v>
      </c>
    </row>
    <row r="18" spans="1:2" x14ac:dyDescent="0.25">
      <c r="A18" s="85" t="s">
        <v>230</v>
      </c>
      <c r="B18" s="85" t="s">
        <v>256</v>
      </c>
    </row>
    <row r="19" spans="1:2" x14ac:dyDescent="0.25">
      <c r="A19" s="85" t="s">
        <v>231</v>
      </c>
      <c r="B19" s="85" t="s">
        <v>106</v>
      </c>
    </row>
    <row r="20" spans="1:2" x14ac:dyDescent="0.25">
      <c r="A20" s="85" t="s">
        <v>232</v>
      </c>
      <c r="B20" s="85" t="s">
        <v>121</v>
      </c>
    </row>
    <row r="21" spans="1:2" x14ac:dyDescent="0.25">
      <c r="A21" s="85" t="s">
        <v>233</v>
      </c>
      <c r="B21" s="85" t="s">
        <v>258</v>
      </c>
    </row>
    <row r="22" spans="1:2" x14ac:dyDescent="0.25">
      <c r="A22" s="85" t="s">
        <v>234</v>
      </c>
      <c r="B22" s="85" t="s">
        <v>257</v>
      </c>
    </row>
    <row r="23" spans="1:2" x14ac:dyDescent="0.25">
      <c r="A23" s="85" t="s">
        <v>235</v>
      </c>
      <c r="B23" s="85" t="s">
        <v>259</v>
      </c>
    </row>
    <row r="24" spans="1:2" x14ac:dyDescent="0.25">
      <c r="A24" s="85" t="s">
        <v>236</v>
      </c>
      <c r="B24" s="85" t="s">
        <v>259</v>
      </c>
    </row>
    <row r="25" spans="1:2" x14ac:dyDescent="0.25">
      <c r="A25" s="85" t="s">
        <v>237</v>
      </c>
      <c r="B25" s="85" t="s">
        <v>260</v>
      </c>
    </row>
    <row r="26" spans="1:2" x14ac:dyDescent="0.25">
      <c r="A26" s="85" t="s">
        <v>238</v>
      </c>
      <c r="B26" s="85" t="s">
        <v>264</v>
      </c>
    </row>
    <row r="27" spans="1:2" x14ac:dyDescent="0.25">
      <c r="A27" s="85" t="s">
        <v>239</v>
      </c>
      <c r="B27" s="85" t="s">
        <v>240</v>
      </c>
    </row>
    <row r="28" spans="1:2" x14ac:dyDescent="0.25">
      <c r="A28" s="85" t="s">
        <v>245</v>
      </c>
      <c r="B28" s="85" t="s">
        <v>247</v>
      </c>
    </row>
    <row r="29" spans="1:2" x14ac:dyDescent="0.25">
      <c r="A29" s="85" t="s">
        <v>246</v>
      </c>
      <c r="B29" s="85" t="s">
        <v>248</v>
      </c>
    </row>
    <row r="30" spans="1:2" x14ac:dyDescent="0.25">
      <c r="A30" s="85" t="s">
        <v>243</v>
      </c>
      <c r="B30" s="85" t="s">
        <v>249</v>
      </c>
    </row>
    <row r="31" spans="1:2" x14ac:dyDescent="0.25">
      <c r="A31" s="85" t="s">
        <v>244</v>
      </c>
      <c r="B31" s="85" t="s">
        <v>250</v>
      </c>
    </row>
    <row r="32" spans="1:2" x14ac:dyDescent="0.25">
      <c r="A32" s="85" t="s">
        <v>241</v>
      </c>
      <c r="B32" s="91" t="s">
        <v>251</v>
      </c>
    </row>
    <row r="33" spans="1:2" x14ac:dyDescent="0.25">
      <c r="A33" s="85" t="s">
        <v>242</v>
      </c>
      <c r="B33" s="91" t="s">
        <v>252</v>
      </c>
    </row>
    <row r="34" spans="1:2" x14ac:dyDescent="0.25">
      <c r="A34" s="85" t="s">
        <v>253</v>
      </c>
      <c r="B34" s="85" t="s">
        <v>254</v>
      </c>
    </row>
    <row r="35" spans="1:2" x14ac:dyDescent="0.25">
      <c r="A35" s="85" t="s">
        <v>262</v>
      </c>
      <c r="B35" s="85" t="s">
        <v>263</v>
      </c>
    </row>
  </sheetData>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5"/>
  <sheetViews>
    <sheetView zoomScale="125" zoomScaleNormal="125" zoomScalePageLayoutView="125" workbookViewId="0"/>
  </sheetViews>
  <sheetFormatPr defaultColWidth="11" defaultRowHeight="15.75" x14ac:dyDescent="0.25"/>
  <sheetData>
    <row r="1" spans="1:16" x14ac:dyDescent="0.25">
      <c r="A1" s="5" t="s">
        <v>100</v>
      </c>
    </row>
    <row r="3" spans="1:16" x14ac:dyDescent="0.25">
      <c r="B3" s="6">
        <f>VLOOKUP(B5,ParametersTax!$B$16:$G$20,4)</f>
        <v>0.56198162362732629</v>
      </c>
      <c r="C3" s="6">
        <f>VLOOKUP(C5,ParametersTax!$B$16:$G$20,4)</f>
        <v>0.22516649581081083</v>
      </c>
      <c r="D3" s="6">
        <f>VLOOKUP(D5,ParametersTax!$B$16:$G$20,4)</f>
        <v>1.7416752094594593E-2</v>
      </c>
      <c r="E3" s="6">
        <f>VLOOKUP(E5,ParametersTax!$B$16:$G$20,4)</f>
        <v>3.4833504189189186E-2</v>
      </c>
      <c r="F3" s="6">
        <f>VLOOKUP(F5,ParametersTax!$B$16:$G$20,4)</f>
        <v>0.16060162427807914</v>
      </c>
      <c r="G3" s="43">
        <f>SUM(B3:F3)</f>
        <v>1</v>
      </c>
      <c r="H3" s="43"/>
    </row>
    <row r="4" spans="1:16" x14ac:dyDescent="0.25">
      <c r="B4" s="102" t="s">
        <v>98</v>
      </c>
      <c r="C4" s="102"/>
      <c r="D4" s="102"/>
      <c r="E4" s="102"/>
      <c r="F4" s="102"/>
      <c r="G4" s="102"/>
      <c r="H4" s="102"/>
      <c r="J4" s="103" t="s">
        <v>99</v>
      </c>
      <c r="K4" s="103"/>
      <c r="L4" s="103"/>
      <c r="M4" s="103"/>
      <c r="N4" s="103"/>
      <c r="O4" s="103"/>
      <c r="P4" s="103"/>
    </row>
    <row r="5" spans="1:16" x14ac:dyDescent="0.25">
      <c r="B5" s="26">
        <v>0</v>
      </c>
      <c r="C5" s="26">
        <v>1</v>
      </c>
      <c r="D5" s="26">
        <v>2</v>
      </c>
      <c r="E5" s="26">
        <v>3</v>
      </c>
      <c r="F5" s="26">
        <v>4</v>
      </c>
      <c r="G5" s="26">
        <v>5</v>
      </c>
      <c r="H5" s="50">
        <f>ParametersTax!$E$4</f>
        <v>5</v>
      </c>
      <c r="J5" s="46">
        <v>0</v>
      </c>
      <c r="K5" s="46">
        <v>1</v>
      </c>
      <c r="L5" s="46">
        <v>2</v>
      </c>
      <c r="M5" s="46">
        <v>3</v>
      </c>
      <c r="N5" s="46">
        <v>4</v>
      </c>
      <c r="O5" s="46">
        <v>5</v>
      </c>
      <c r="P5" s="48">
        <f>ParametersTax!$E$4</f>
        <v>5</v>
      </c>
    </row>
    <row r="6" spans="1:16" x14ac:dyDescent="0.25">
      <c r="A6" s="10" t="s">
        <v>30</v>
      </c>
      <c r="B6" s="44" t="str">
        <f>VLOOKUP(B5,ParametersTax!$B$16:$G$20,6)</f>
        <v>Zero-rate group</v>
      </c>
      <c r="C6" s="44" t="str">
        <f>VLOOKUP(C5,ParametersTax!$B$16:$G$20,6)</f>
        <v>Penalty, no subsidy</v>
      </c>
      <c r="D6" s="44" t="str">
        <f>VLOOKUP(D5,ParametersTax!$B$16:$G$20,6)</f>
        <v>Subsidy slide, no penalty</v>
      </c>
      <c r="E6" s="44" t="str">
        <f>VLOOKUP(E5,ParametersTax!$B$16:$G$20,6)</f>
        <v>Subsidy slide, penalty</v>
      </c>
      <c r="F6" s="44" t="str">
        <f>VLOOKUP(F5,ParametersTax!$B$16:$G$20,6)</f>
        <v>Without ESI spouse</v>
      </c>
      <c r="G6" s="44" t="s">
        <v>96</v>
      </c>
      <c r="H6" s="50" t="str">
        <f>ParametersTax!$D$4</f>
        <v>Entire economy</v>
      </c>
      <c r="J6" s="47" t="str">
        <f>VLOOKUP(J5,ParametersTax!$B$16:$G$20,6)</f>
        <v>Zero-rate group</v>
      </c>
      <c r="K6" s="47" t="str">
        <f>VLOOKUP(K5,ParametersTax!$B$16:$G$20,6)</f>
        <v>Penalty, no subsidy</v>
      </c>
      <c r="L6" s="47" t="str">
        <f>VLOOKUP(L5,ParametersTax!$B$16:$G$20,6)</f>
        <v>Subsidy slide, no penalty</v>
      </c>
      <c r="M6" s="47" t="str">
        <f>VLOOKUP(M5,ParametersTax!$B$16:$G$20,6)</f>
        <v>Subsidy slide, penalty</v>
      </c>
      <c r="N6" s="47" t="str">
        <f>VLOOKUP(N5,ParametersTax!$B$16:$G$20,6)</f>
        <v>Without ESI spouse</v>
      </c>
      <c r="O6" s="47" t="s">
        <v>96</v>
      </c>
      <c r="P6" s="48" t="str">
        <f>ParametersTax!$D$4</f>
        <v>Entire economy</v>
      </c>
    </row>
    <row r="7" spans="1:16" x14ac:dyDescent="0.25">
      <c r="A7">
        <v>8</v>
      </c>
      <c r="B7" s="45">
        <f>VLOOKUP($A7,'hours (1)'!$A$19:$C$103,3)</f>
        <v>4.231363238139366E-3</v>
      </c>
      <c r="C7" s="45">
        <f>B7</f>
        <v>4.231363238139366E-3</v>
      </c>
      <c r="D7" s="45">
        <f t="shared" ref="D7:F7" si="0">C7</f>
        <v>4.231363238139366E-3</v>
      </c>
      <c r="E7" s="45">
        <f t="shared" si="0"/>
        <v>4.231363238139366E-3</v>
      </c>
      <c r="F7" s="45">
        <f t="shared" si="0"/>
        <v>4.231363238139366E-3</v>
      </c>
      <c r="G7" s="45">
        <f>SUMPRODUCT($B$3:$F$3,$B7:$F7)/$G$3</f>
        <v>4.231363238139366E-3</v>
      </c>
      <c r="H7" s="51">
        <f>INDEX(B7:G7,1,H$5+1)</f>
        <v>4.231363238139366E-3</v>
      </c>
      <c r="J7" s="6">
        <f>B7</f>
        <v>4.231363238139366E-3</v>
      </c>
      <c r="K7" s="6">
        <f>VLOOKUP($A7,'Sectors (1)'!$AA$19:$AB$103,2)</f>
        <v>4.9426355348073043E-3</v>
      </c>
      <c r="L7" s="6">
        <f>VLOOKUP($A7,'Sectors (2)'!$AA$19:$AB$103,2)</f>
        <v>1.9388890847315805E-3</v>
      </c>
      <c r="M7" s="6">
        <f>VLOOKUP($A7,'Sectors (3)'!$AA$19:$AB$103,2)</f>
        <v>1.918309656049041E-3</v>
      </c>
      <c r="N7" s="6">
        <f>VLOOKUP($A7,'Sectors (4)'!$AA$19:$AB$103,2)</f>
        <v>5.436944093124404E-3</v>
      </c>
      <c r="O7" s="6">
        <f>SUMPRODUCT($B$3:$F$3,$J7:$N7)/$G$3</f>
        <v>4.4646369566018144E-3</v>
      </c>
      <c r="P7" s="49">
        <f>INDEX(J7:O7,1,P$5+1)</f>
        <v>4.4646369566018144E-3</v>
      </c>
    </row>
    <row r="8" spans="1:16" x14ac:dyDescent="0.25">
      <c r="A8">
        <v>9</v>
      </c>
      <c r="B8" s="45">
        <f>VLOOKUP($A8,'hours (1)'!$A$19:$C$103,3)</f>
        <v>4.7423710919193753E-3</v>
      </c>
      <c r="C8" s="45">
        <f t="shared" ref="C8:F8" si="1">B8</f>
        <v>4.7423710919193753E-3</v>
      </c>
      <c r="D8" s="45">
        <f t="shared" si="1"/>
        <v>4.7423710919193753E-3</v>
      </c>
      <c r="E8" s="45">
        <f t="shared" si="1"/>
        <v>4.7423710919193753E-3</v>
      </c>
      <c r="F8" s="45">
        <f t="shared" si="1"/>
        <v>4.7423710919193753E-3</v>
      </c>
      <c r="G8" s="45">
        <f t="shared" ref="G8:G71" si="2">SUMPRODUCT($B$3:$F$3,$B8:$F8)/$G$3</f>
        <v>4.7423710919193762E-3</v>
      </c>
      <c r="H8" s="51">
        <f t="shared" ref="H8:H71" si="3">INDEX(B8:G8,1,H$5+1)</f>
        <v>4.7423710919193762E-3</v>
      </c>
      <c r="J8" s="6">
        <f t="shared" ref="J8:J71" si="4">B8</f>
        <v>4.7423710919193753E-3</v>
      </c>
      <c r="K8" s="6">
        <f>VLOOKUP($A8,'Sectors (1)'!$AA$19:$AB$103,2)</f>
        <v>5.401789872591615E-3</v>
      </c>
      <c r="L8" s="6">
        <f>VLOOKUP($A8,'Sectors (2)'!$AA$19:$AB$103,2)</f>
        <v>2.2007466031892485E-3</v>
      </c>
      <c r="M8" s="6">
        <f>VLOOKUP($A8,'Sectors (3)'!$AA$19:$AB$103,2)</f>
        <v>2.1790417644707628E-3</v>
      </c>
      <c r="N8" s="6">
        <f>VLOOKUP($A8,'Sectors (4)'!$AA$19:$AB$103,2)</f>
        <v>5.8722660334164173E-3</v>
      </c>
      <c r="O8" s="6">
        <f t="shared" ref="O8:O71" si="5">SUMPRODUCT($B$3:$F$3,$J8:$N8)/$G$3</f>
        <v>4.9387564843994761E-3</v>
      </c>
      <c r="P8" s="49">
        <f t="shared" ref="P8:P71" si="6">INDEX(J8:O8,1,P$5+1)</f>
        <v>4.9387564843994761E-3</v>
      </c>
    </row>
    <row r="9" spans="1:16" x14ac:dyDescent="0.25">
      <c r="A9">
        <v>10</v>
      </c>
      <c r="B9" s="45">
        <f>VLOOKUP($A9,'hours (1)'!$A$19:$C$103,3)</f>
        <v>1.3292058071481382E-2</v>
      </c>
      <c r="C9" s="45">
        <f t="shared" ref="C9:F9" si="7">B9</f>
        <v>1.3292058071481382E-2</v>
      </c>
      <c r="D9" s="45">
        <f t="shared" si="7"/>
        <v>1.3292058071481382E-2</v>
      </c>
      <c r="E9" s="45">
        <f t="shared" si="7"/>
        <v>1.3292058071481382E-2</v>
      </c>
      <c r="F9" s="45">
        <f t="shared" si="7"/>
        <v>1.3292058071481382E-2</v>
      </c>
      <c r="G9" s="45">
        <f t="shared" si="2"/>
        <v>1.3292058071481384E-2</v>
      </c>
      <c r="H9" s="51">
        <f t="shared" si="3"/>
        <v>1.3292058071481384E-2</v>
      </c>
      <c r="J9" s="6">
        <f t="shared" si="4"/>
        <v>1.3292058071481382E-2</v>
      </c>
      <c r="K9" s="6">
        <f>VLOOKUP($A9,'Sectors (1)'!$AA$19:$AB$103,2)</f>
        <v>1.37992343767229E-2</v>
      </c>
      <c r="L9" s="6">
        <f>VLOOKUP($A9,'Sectors (2)'!$AA$19:$AB$103,2)</f>
        <v>7.2060812632530943E-3</v>
      </c>
      <c r="M9" s="6">
        <f>VLOOKUP($A9,'Sectors (3)'!$AA$19:$AB$103,2)</f>
        <v>7.1968774664295954E-3</v>
      </c>
      <c r="N9" s="6">
        <f>VLOOKUP($A9,'Sectors (4)'!$AA$19:$AB$103,2)</f>
        <v>1.4079892872425948E-2</v>
      </c>
      <c r="O9" s="6">
        <f t="shared" si="5"/>
        <v>1.3214470283123085E-2</v>
      </c>
      <c r="P9" s="49">
        <f t="shared" si="6"/>
        <v>1.3214470283123085E-2</v>
      </c>
    </row>
    <row r="10" spans="1:16" x14ac:dyDescent="0.25">
      <c r="A10">
        <v>11</v>
      </c>
      <c r="B10" s="45">
        <f>VLOOKUP($A10,'hours (1)'!$A$19:$C$103,3)</f>
        <v>1.3527602041741573E-2</v>
      </c>
      <c r="C10" s="45">
        <f t="shared" ref="C10:F10" si="8">B10</f>
        <v>1.3527602041741573E-2</v>
      </c>
      <c r="D10" s="45">
        <f t="shared" si="8"/>
        <v>1.3527602041741573E-2</v>
      </c>
      <c r="E10" s="45">
        <f t="shared" si="8"/>
        <v>1.3527602041741573E-2</v>
      </c>
      <c r="F10" s="45">
        <f t="shared" si="8"/>
        <v>1.3527602041741573E-2</v>
      </c>
      <c r="G10" s="45">
        <f t="shared" si="2"/>
        <v>1.3527602041741572E-2</v>
      </c>
      <c r="H10" s="51">
        <f t="shared" si="3"/>
        <v>1.3527602041741572E-2</v>
      </c>
      <c r="J10" s="6">
        <f t="shared" si="4"/>
        <v>1.3527602041741573E-2</v>
      </c>
      <c r="K10" s="6">
        <f>VLOOKUP($A10,'Sectors (1)'!$AA$19:$AB$103,2)</f>
        <v>1.4036822309079173E-2</v>
      </c>
      <c r="L10" s="6">
        <f>VLOOKUP($A10,'Sectors (2)'!$AA$19:$AB$103,2)</f>
        <v>7.3634036400384208E-3</v>
      </c>
      <c r="M10" s="6">
        <f>VLOOKUP($A10,'Sectors (3)'!$AA$19:$AB$103,2)</f>
        <v>7.3558466469160868E-3</v>
      </c>
      <c r="N10" s="6">
        <f>VLOOKUP($A10,'Sectors (4)'!$AA$19:$AB$103,2)</f>
        <v>1.4316541038149791E-2</v>
      </c>
      <c r="O10" s="6">
        <f t="shared" si="5"/>
        <v>1.3446622086388638E-2</v>
      </c>
      <c r="P10" s="49">
        <f t="shared" si="6"/>
        <v>1.3446622086388638E-2</v>
      </c>
    </row>
    <row r="11" spans="1:16" x14ac:dyDescent="0.25">
      <c r="A11">
        <v>12</v>
      </c>
      <c r="B11" s="45">
        <f>VLOOKUP($A11,'hours (1)'!$A$19:$C$103,3)</f>
        <v>1.9048627837674366E-2</v>
      </c>
      <c r="C11" s="45">
        <f t="shared" ref="C11:F11" si="9">B11</f>
        <v>1.9048627837674366E-2</v>
      </c>
      <c r="D11" s="45">
        <f t="shared" si="9"/>
        <v>1.9048627837674366E-2</v>
      </c>
      <c r="E11" s="45">
        <f t="shared" si="9"/>
        <v>1.9048627837674366E-2</v>
      </c>
      <c r="F11" s="45">
        <f t="shared" si="9"/>
        <v>1.9048627837674366E-2</v>
      </c>
      <c r="G11" s="45">
        <f t="shared" si="2"/>
        <v>1.9048627837674366E-2</v>
      </c>
      <c r="H11" s="51">
        <f t="shared" si="3"/>
        <v>1.9048627837674366E-2</v>
      </c>
      <c r="J11" s="6">
        <f t="shared" si="4"/>
        <v>1.9048627837674366E-2</v>
      </c>
      <c r="K11" s="6">
        <f>VLOOKUP($A11,'Sectors (1)'!$AA$19:$AB$103,2)</f>
        <v>1.9670956836277498E-2</v>
      </c>
      <c r="L11" s="6">
        <f>VLOOKUP($A11,'Sectors (2)'!$AA$19:$AB$103,2)</f>
        <v>1.1460896663654224E-2</v>
      </c>
      <c r="M11" s="6">
        <f>VLOOKUP($A11,'Sectors (3)'!$AA$19:$AB$103,2)</f>
        <v>1.153184341078526E-2</v>
      </c>
      <c r="N11" s="6">
        <f>VLOOKUP($A11,'Sectors (4)'!$AA$19:$AB$103,2)</f>
        <v>1.9981559144862365E-2</v>
      </c>
      <c r="O11" s="6">
        <f t="shared" si="5"/>
        <v>1.8944596186163939E-2</v>
      </c>
      <c r="P11" s="49">
        <f t="shared" si="6"/>
        <v>1.8944596186163939E-2</v>
      </c>
    </row>
    <row r="12" spans="1:16" x14ac:dyDescent="0.25">
      <c r="A12">
        <v>13</v>
      </c>
      <c r="B12" s="45">
        <f>VLOOKUP($A12,'hours (1)'!$A$19:$C$103,3)</f>
        <v>1.983749809554209E-2</v>
      </c>
      <c r="C12" s="45">
        <f t="shared" ref="C12:F12" si="10">B12</f>
        <v>1.983749809554209E-2</v>
      </c>
      <c r="D12" s="45">
        <f t="shared" si="10"/>
        <v>1.983749809554209E-2</v>
      </c>
      <c r="E12" s="45">
        <f t="shared" si="10"/>
        <v>1.983749809554209E-2</v>
      </c>
      <c r="F12" s="45">
        <f t="shared" si="10"/>
        <v>1.983749809554209E-2</v>
      </c>
      <c r="G12" s="45">
        <f t="shared" si="2"/>
        <v>1.983749809554209E-2</v>
      </c>
      <c r="H12" s="51">
        <f t="shared" si="3"/>
        <v>1.983749809554209E-2</v>
      </c>
      <c r="J12" s="6">
        <f t="shared" si="4"/>
        <v>1.983749809554209E-2</v>
      </c>
      <c r="K12" s="6">
        <f>VLOOKUP($A12,'Sectors (1)'!$AA$19:$AB$103,2)</f>
        <v>2.0481178023114513E-2</v>
      </c>
      <c r="L12" s="6">
        <f>VLOOKUP($A12,'Sectors (2)'!$AA$19:$AB$103,2)</f>
        <v>1.2091733739428869E-2</v>
      </c>
      <c r="M12" s="6">
        <f>VLOOKUP($A12,'Sectors (3)'!$AA$19:$AB$103,2)</f>
        <v>1.2179638687718273E-2</v>
      </c>
      <c r="N12" s="6">
        <f>VLOOKUP($A12,'Sectors (4)'!$AA$19:$AB$103,2)</f>
        <v>2.0800615200735416E-2</v>
      </c>
      <c r="O12" s="6">
        <f t="shared" si="5"/>
        <v>1.9735455285385152E-2</v>
      </c>
      <c r="P12" s="49">
        <f t="shared" si="6"/>
        <v>1.9735455285385152E-2</v>
      </c>
    </row>
    <row r="13" spans="1:16" x14ac:dyDescent="0.25">
      <c r="A13">
        <v>14</v>
      </c>
      <c r="B13" s="45">
        <f>VLOOKUP($A13,'hours (1)'!$A$19:$C$103,3)</f>
        <v>2.0816678883440631E-2</v>
      </c>
      <c r="C13" s="45">
        <f t="shared" ref="C13:F13" si="11">B13</f>
        <v>2.0816678883440631E-2</v>
      </c>
      <c r="D13" s="45">
        <f t="shared" si="11"/>
        <v>2.0816678883440631E-2</v>
      </c>
      <c r="E13" s="45">
        <f t="shared" si="11"/>
        <v>2.0816678883440631E-2</v>
      </c>
      <c r="F13" s="45">
        <f t="shared" si="11"/>
        <v>2.0816678883440631E-2</v>
      </c>
      <c r="G13" s="45">
        <f t="shared" si="2"/>
        <v>2.0816678883440635E-2</v>
      </c>
      <c r="H13" s="51">
        <f t="shared" si="3"/>
        <v>2.0816678883440635E-2</v>
      </c>
      <c r="J13" s="6">
        <f t="shared" si="4"/>
        <v>2.0816678883440631E-2</v>
      </c>
      <c r="K13" s="6">
        <f>VLOOKUP($A13,'Sectors (1)'!$AA$19:$AB$103,2)</f>
        <v>2.1490947317965962E-2</v>
      </c>
      <c r="L13" s="6">
        <f>VLOOKUP($A13,'Sectors (2)'!$AA$19:$AB$103,2)</f>
        <v>1.2916272412350006E-2</v>
      </c>
      <c r="M13" s="6">
        <f>VLOOKUP($A13,'Sectors (3)'!$AA$19:$AB$103,2)</f>
        <v>1.3031348962072484E-2</v>
      </c>
      <c r="N13" s="6">
        <f>VLOOKUP($A13,'Sectors (4)'!$AA$19:$AB$103,2)</f>
        <v>2.1824897179272027E-2</v>
      </c>
      <c r="O13" s="6">
        <f t="shared" si="5"/>
        <v>2.0721633296632225E-2</v>
      </c>
      <c r="P13" s="49">
        <f t="shared" si="6"/>
        <v>2.0721633296632225E-2</v>
      </c>
    </row>
    <row r="14" spans="1:16" x14ac:dyDescent="0.25">
      <c r="A14">
        <v>15</v>
      </c>
      <c r="B14" s="45">
        <f>VLOOKUP($A14,'hours (1)'!$A$19:$C$103,3)</f>
        <v>3.2527927257908908E-2</v>
      </c>
      <c r="C14" s="45">
        <f t="shared" ref="C14:F14" si="12">B14</f>
        <v>3.2527927257908908E-2</v>
      </c>
      <c r="D14" s="45">
        <f t="shared" si="12"/>
        <v>3.2527927257908908E-2</v>
      </c>
      <c r="E14" s="45">
        <f t="shared" si="12"/>
        <v>3.2527927257908908E-2</v>
      </c>
      <c r="F14" s="45">
        <f t="shared" si="12"/>
        <v>3.2527927257908908E-2</v>
      </c>
      <c r="G14" s="45">
        <f t="shared" si="2"/>
        <v>3.2527927257908908E-2</v>
      </c>
      <c r="H14" s="51">
        <f t="shared" si="3"/>
        <v>3.2527927257908908E-2</v>
      </c>
      <c r="J14" s="6">
        <f t="shared" si="4"/>
        <v>3.2527927257908908E-2</v>
      </c>
      <c r="K14" s="6">
        <f>VLOOKUP($A14,'Sectors (1)'!$AA$19:$AB$103,2)</f>
        <v>3.3601755842749742E-2</v>
      </c>
      <c r="L14" s="6">
        <f>VLOOKUP($A14,'Sectors (2)'!$AA$19:$AB$103,2)</f>
        <v>2.3145359399989143E-2</v>
      </c>
      <c r="M14" s="6">
        <f>VLOOKUP($A14,'Sectors (3)'!$AA$19:$AB$103,2)</f>
        <v>2.3644700191882868E-2</v>
      </c>
      <c r="N14" s="6">
        <f>VLOOKUP($A14,'Sectors (4)'!$AA$19:$AB$103,2)</f>
        <v>3.4138748910698985E-2</v>
      </c>
      <c r="O14" s="6">
        <f t="shared" si="5"/>
        <v>3.2555570265709349E-2</v>
      </c>
      <c r="P14" s="49">
        <f t="shared" si="6"/>
        <v>3.2555570265709349E-2</v>
      </c>
    </row>
    <row r="15" spans="1:16" x14ac:dyDescent="0.25">
      <c r="A15">
        <v>16</v>
      </c>
      <c r="B15" s="45">
        <f>VLOOKUP($A15,'hours (1)'!$A$19:$C$103,3)</f>
        <v>3.7796995332636758E-2</v>
      </c>
      <c r="C15" s="45">
        <f t="shared" ref="C15:F15" si="13">B15</f>
        <v>3.7796995332636758E-2</v>
      </c>
      <c r="D15" s="45">
        <f t="shared" si="13"/>
        <v>3.7796995332636758E-2</v>
      </c>
      <c r="E15" s="45">
        <f t="shared" si="13"/>
        <v>3.7796995332636758E-2</v>
      </c>
      <c r="F15" s="45">
        <f t="shared" si="13"/>
        <v>3.7796995332636758E-2</v>
      </c>
      <c r="G15" s="45">
        <f t="shared" si="2"/>
        <v>3.7796995332636758E-2</v>
      </c>
      <c r="H15" s="51">
        <f t="shared" si="3"/>
        <v>3.7796995332636758E-2</v>
      </c>
      <c r="J15" s="6">
        <f t="shared" si="4"/>
        <v>3.7796995332636758E-2</v>
      </c>
      <c r="K15" s="6">
        <f>VLOOKUP($A15,'Sectors (1)'!$AA$19:$AB$103,2)</f>
        <v>3.9061677494147018E-2</v>
      </c>
      <c r="L15" s="6">
        <f>VLOOKUP($A15,'Sectors (2)'!$AA$19:$AB$103,2)</f>
        <v>2.7872505711510336E-2</v>
      </c>
      <c r="M15" s="6">
        <f>VLOOKUP($A15,'Sectors (3)'!$AA$19:$AB$103,2)</f>
        <v>2.8566072182778346E-2</v>
      </c>
      <c r="N15" s="6">
        <f>VLOOKUP($A15,'Sectors (4)'!$AA$19:$AB$103,2)</f>
        <v>3.9699735676342829E-2</v>
      </c>
      <c r="O15" s="6">
        <f t="shared" si="5"/>
        <v>3.7892944797429877E-2</v>
      </c>
      <c r="P15" s="49">
        <f t="shared" si="6"/>
        <v>3.7892944797429877E-2</v>
      </c>
    </row>
    <row r="16" spans="1:16" x14ac:dyDescent="0.25">
      <c r="A16">
        <v>17</v>
      </c>
      <c r="B16" s="45">
        <f>VLOOKUP($A16,'hours (1)'!$A$19:$C$103,3)</f>
        <v>3.868744627701063E-2</v>
      </c>
      <c r="C16" s="45">
        <f t="shared" ref="C16:F16" si="14">B16</f>
        <v>3.868744627701063E-2</v>
      </c>
      <c r="D16" s="45">
        <f t="shared" si="14"/>
        <v>3.868744627701063E-2</v>
      </c>
      <c r="E16" s="45">
        <f t="shared" si="14"/>
        <v>3.868744627701063E-2</v>
      </c>
      <c r="F16" s="45">
        <f t="shared" si="14"/>
        <v>3.868744627701063E-2</v>
      </c>
      <c r="G16" s="45">
        <f t="shared" si="2"/>
        <v>3.868744627701063E-2</v>
      </c>
      <c r="H16" s="51">
        <f t="shared" si="3"/>
        <v>3.868744627701063E-2</v>
      </c>
      <c r="J16" s="6">
        <f t="shared" si="4"/>
        <v>3.868744627701063E-2</v>
      </c>
      <c r="K16" s="6">
        <f>VLOOKUP($A16,'Sectors (1)'!$AA$19:$AB$103,2)</f>
        <v>3.9985810252651591E-2</v>
      </c>
      <c r="L16" s="6">
        <f>VLOOKUP($A16,'Sectors (2)'!$AA$19:$AB$103,2)</f>
        <v>2.8687723380073162E-2</v>
      </c>
      <c r="M16" s="6">
        <f>VLOOKUP($A16,'Sectors (3)'!$AA$19:$AB$103,2)</f>
        <v>2.9417016546872673E-2</v>
      </c>
      <c r="N16" s="6">
        <f>VLOOKUP($A16,'Sectors (4)'!$AA$19:$AB$103,2)</f>
        <v>4.0642199678198376E-2</v>
      </c>
      <c r="O16" s="6">
        <f t="shared" si="5"/>
        <v>3.8796646667435604E-2</v>
      </c>
      <c r="P16" s="49">
        <f t="shared" si="6"/>
        <v>3.8796646667435604E-2</v>
      </c>
    </row>
    <row r="17" spans="1:16" x14ac:dyDescent="0.25">
      <c r="A17">
        <v>18</v>
      </c>
      <c r="B17" s="45">
        <f>VLOOKUP($A17,'hours (1)'!$A$19:$C$103,3)</f>
        <v>4.1292585405969959E-2</v>
      </c>
      <c r="C17" s="45">
        <f t="shared" ref="C17:F17" si="15">B17</f>
        <v>4.1292585405969959E-2</v>
      </c>
      <c r="D17" s="45">
        <f t="shared" si="15"/>
        <v>4.1292585405969959E-2</v>
      </c>
      <c r="E17" s="45">
        <f t="shared" si="15"/>
        <v>4.1292585405969959E-2</v>
      </c>
      <c r="F17" s="45">
        <f t="shared" si="15"/>
        <v>4.1292585405969959E-2</v>
      </c>
      <c r="G17" s="45">
        <f t="shared" si="2"/>
        <v>4.1292585405969966E-2</v>
      </c>
      <c r="H17" s="51">
        <f t="shared" si="3"/>
        <v>4.1292585405969966E-2</v>
      </c>
      <c r="J17" s="6">
        <f t="shared" si="4"/>
        <v>4.1292585405969959E-2</v>
      </c>
      <c r="K17" s="6">
        <f>VLOOKUP($A17,'Sectors (1)'!$AA$19:$AB$103,2)</f>
        <v>4.2692780959549356E-2</v>
      </c>
      <c r="L17" s="6">
        <f>VLOOKUP($A17,'Sectors (2)'!$AA$19:$AB$103,2)</f>
        <v>3.1110658381643279E-2</v>
      </c>
      <c r="M17" s="6">
        <f>VLOOKUP($A17,'Sectors (3)'!$AA$19:$AB$103,2)</f>
        <v>3.1951398705332562E-2</v>
      </c>
      <c r="N17" s="6">
        <f>VLOOKUP($A17,'Sectors (4)'!$AA$19:$AB$103,2)</f>
        <v>4.3405681578598664E-2</v>
      </c>
      <c r="O17" s="6">
        <f t="shared" si="5"/>
        <v>4.1444506844902668E-2</v>
      </c>
      <c r="P17" s="49">
        <f t="shared" si="6"/>
        <v>4.1444506844902668E-2</v>
      </c>
    </row>
    <row r="18" spans="1:16" x14ac:dyDescent="0.25">
      <c r="A18">
        <v>19</v>
      </c>
      <c r="B18" s="45">
        <f>VLOOKUP($A18,'hours (1)'!$A$19:$C$103,3)</f>
        <v>4.1607721495115609E-2</v>
      </c>
      <c r="C18" s="45">
        <f t="shared" ref="C18:F18" si="16">B18</f>
        <v>4.1607721495115609E-2</v>
      </c>
      <c r="D18" s="45">
        <f t="shared" si="16"/>
        <v>4.1607721495115609E-2</v>
      </c>
      <c r="E18" s="45">
        <f t="shared" si="16"/>
        <v>4.1607721495115609E-2</v>
      </c>
      <c r="F18" s="45">
        <f t="shared" si="16"/>
        <v>4.1607721495115609E-2</v>
      </c>
      <c r="G18" s="45">
        <f t="shared" si="2"/>
        <v>4.1607721495115602E-2</v>
      </c>
      <c r="H18" s="51">
        <f t="shared" si="3"/>
        <v>4.1607721495115602E-2</v>
      </c>
      <c r="J18" s="6">
        <f t="shared" si="4"/>
        <v>4.1607721495115609E-2</v>
      </c>
      <c r="K18" s="6">
        <f>VLOOKUP($A18,'Sectors (1)'!$AA$19:$AB$103,2)</f>
        <v>4.3020556866632829E-2</v>
      </c>
      <c r="L18" s="6">
        <f>VLOOKUP($A18,'Sectors (2)'!$AA$19:$AB$103,2)</f>
        <v>3.1407461276969501E-2</v>
      </c>
      <c r="M18" s="6">
        <f>VLOOKUP($A18,'Sectors (3)'!$AA$19:$AB$103,2)</f>
        <v>3.2262375163941912E-2</v>
      </c>
      <c r="N18" s="6">
        <f>VLOOKUP($A18,'Sectors (4)'!$AA$19:$AB$103,2)</f>
        <v>4.3740574475430463E-2</v>
      </c>
      <c r="O18" s="6">
        <f t="shared" si="5"/>
        <v>4.1765197773766444E-2</v>
      </c>
      <c r="P18" s="49">
        <f t="shared" si="6"/>
        <v>4.1765197773766444E-2</v>
      </c>
    </row>
    <row r="19" spans="1:16" x14ac:dyDescent="0.25">
      <c r="A19">
        <v>20</v>
      </c>
      <c r="B19" s="45">
        <f>VLOOKUP($A19,'hours (1)'!$A$19:$C$103,3)</f>
        <v>7.9900906273469186E-2</v>
      </c>
      <c r="C19" s="45">
        <f t="shared" ref="C19:F19" si="17">B19</f>
        <v>7.9900906273469186E-2</v>
      </c>
      <c r="D19" s="45">
        <f t="shared" si="17"/>
        <v>7.9900906273469186E-2</v>
      </c>
      <c r="E19" s="45">
        <f t="shared" si="17"/>
        <v>7.9900906273469186E-2</v>
      </c>
      <c r="F19" s="45">
        <f t="shared" si="17"/>
        <v>7.9900906273469186E-2</v>
      </c>
      <c r="G19" s="45">
        <f t="shared" si="2"/>
        <v>7.9900906273469186E-2</v>
      </c>
      <c r="H19" s="51">
        <f t="shared" si="3"/>
        <v>7.9900906273469186E-2</v>
      </c>
      <c r="J19" s="6">
        <f t="shared" si="4"/>
        <v>7.9900906273469186E-2</v>
      </c>
      <c r="K19" s="6">
        <f>VLOOKUP($A19,'Sectors (1)'!$AA$19:$AB$103,2)</f>
        <v>8.2881863385665416E-2</v>
      </c>
      <c r="L19" s="6">
        <f>VLOOKUP($A19,'Sectors (2)'!$AA$19:$AB$103,2)</f>
        <v>6.7843717755735417E-2</v>
      </c>
      <c r="M19" s="6">
        <f>VLOOKUP($A19,'Sectors (3)'!$AA$19:$AB$103,2)</f>
        <v>7.0491336872939292E-2</v>
      </c>
      <c r="N19" s="6">
        <f>VLOOKUP($A19,'Sectors (4)'!$AA$19:$AB$103,2)</f>
        <v>8.449478617685513E-2</v>
      </c>
      <c r="O19" s="6">
        <f t="shared" si="5"/>
        <v>8.0772137176303938E-2</v>
      </c>
      <c r="P19" s="49">
        <f t="shared" si="6"/>
        <v>8.0772137176303938E-2</v>
      </c>
    </row>
    <row r="20" spans="1:16" x14ac:dyDescent="0.25">
      <c r="A20">
        <v>21</v>
      </c>
      <c r="B20" s="45">
        <f>VLOOKUP($A20,'hours (1)'!$A$19:$C$103,3)</f>
        <v>8.1001330917867764E-2</v>
      </c>
      <c r="C20" s="45">
        <f t="shared" ref="C20:F20" si="18">B20</f>
        <v>8.1001330917867764E-2</v>
      </c>
      <c r="D20" s="45">
        <f t="shared" si="18"/>
        <v>8.1001330917867764E-2</v>
      </c>
      <c r="E20" s="45">
        <f t="shared" si="18"/>
        <v>8.1001330917867764E-2</v>
      </c>
      <c r="F20" s="45">
        <f t="shared" si="18"/>
        <v>8.1001330917867764E-2</v>
      </c>
      <c r="G20" s="45">
        <f t="shared" si="2"/>
        <v>8.1001330917867778E-2</v>
      </c>
      <c r="H20" s="51">
        <f t="shared" si="3"/>
        <v>8.1001330917867778E-2</v>
      </c>
      <c r="J20" s="6">
        <f t="shared" si="4"/>
        <v>8.1001330917867764E-2</v>
      </c>
      <c r="K20" s="6">
        <f>VLOOKUP($A20,'Sectors (1)'!$AA$19:$AB$103,2)</f>
        <v>8.4028127324233912E-2</v>
      </c>
      <c r="L20" s="6">
        <f>VLOOKUP($A20,'Sectors (2)'!$AA$19:$AB$103,2)</f>
        <v>6.8899685394952143E-2</v>
      </c>
      <c r="M20" s="6">
        <f>VLOOKUP($A20,'Sectors (3)'!$AA$19:$AB$103,2)</f>
        <v>7.1600537006260234E-2</v>
      </c>
      <c r="N20" s="6">
        <f>VLOOKUP($A20,'Sectors (4)'!$AA$19:$AB$103,2)</f>
        <v>8.5667385052040315E-2</v>
      </c>
      <c r="O20" s="6">
        <f t="shared" si="5"/>
        <v>8.1894005977028589E-2</v>
      </c>
      <c r="P20" s="49">
        <f t="shared" si="6"/>
        <v>8.1894005977028589E-2</v>
      </c>
    </row>
    <row r="21" spans="1:16" x14ac:dyDescent="0.25">
      <c r="A21">
        <v>22</v>
      </c>
      <c r="B21" s="45">
        <f>VLOOKUP($A21,'hours (1)'!$A$19:$C$103,3)</f>
        <v>8.2238966796737367E-2</v>
      </c>
      <c r="C21" s="45">
        <f t="shared" ref="C21:F21" si="19">B21</f>
        <v>8.2238966796737367E-2</v>
      </c>
      <c r="D21" s="45">
        <f t="shared" si="19"/>
        <v>8.2238966796737367E-2</v>
      </c>
      <c r="E21" s="45">
        <f t="shared" si="19"/>
        <v>8.2238966796737367E-2</v>
      </c>
      <c r="F21" s="45">
        <f t="shared" si="19"/>
        <v>8.2238966796737367E-2</v>
      </c>
      <c r="G21" s="45">
        <f t="shared" si="2"/>
        <v>8.2238966796737367E-2</v>
      </c>
      <c r="H21" s="51">
        <f t="shared" si="3"/>
        <v>8.2238966796737367E-2</v>
      </c>
      <c r="J21" s="6">
        <f t="shared" si="4"/>
        <v>8.2238966796737367E-2</v>
      </c>
      <c r="K21" s="6">
        <f>VLOOKUP($A21,'Sectors (1)'!$AA$19:$AB$103,2)</f>
        <v>8.5318061027084405E-2</v>
      </c>
      <c r="L21" s="6">
        <f>VLOOKUP($A21,'Sectors (2)'!$AA$19:$AB$103,2)</f>
        <v>7.0095803232835013E-2</v>
      </c>
      <c r="M21" s="6">
        <f>VLOOKUP($A21,'Sectors (3)'!$AA$19:$AB$103,2)</f>
        <v>7.2858179063404291E-2</v>
      </c>
      <c r="N21" s="6">
        <f>VLOOKUP($A21,'Sectors (4)'!$AA$19:$AB$103,2)</f>
        <v>8.6987582371572003E-2</v>
      </c>
      <c r="O21" s="6">
        <f t="shared" si="5"/>
        <v>8.3156650851002961E-2</v>
      </c>
      <c r="P21" s="49">
        <f t="shared" si="6"/>
        <v>8.3156650851002961E-2</v>
      </c>
    </row>
    <row r="22" spans="1:16" x14ac:dyDescent="0.25">
      <c r="A22">
        <v>23</v>
      </c>
      <c r="B22" s="45">
        <f>VLOOKUP($A22,'hours (1)'!$A$19:$C$103,3)</f>
        <v>8.3397377346092719E-2</v>
      </c>
      <c r="C22" s="45">
        <f t="shared" ref="C22:F22" si="20">B22</f>
        <v>8.3397377346092719E-2</v>
      </c>
      <c r="D22" s="45">
        <f t="shared" si="20"/>
        <v>8.3397377346092719E-2</v>
      </c>
      <c r="E22" s="45">
        <f t="shared" si="20"/>
        <v>8.3397377346092719E-2</v>
      </c>
      <c r="F22" s="45">
        <f t="shared" si="20"/>
        <v>8.3397377346092719E-2</v>
      </c>
      <c r="G22" s="45">
        <f t="shared" si="2"/>
        <v>8.3397377346092733E-2</v>
      </c>
      <c r="H22" s="51">
        <f t="shared" si="3"/>
        <v>8.3397377346092733E-2</v>
      </c>
      <c r="J22" s="6">
        <f t="shared" si="4"/>
        <v>8.3397377346092719E-2</v>
      </c>
      <c r="K22" s="6">
        <f>VLOOKUP($A22,'Sectors (1)'!$AA$19:$AB$103,2)</f>
        <v>8.6526020307386819E-2</v>
      </c>
      <c r="L22" s="6">
        <f>VLOOKUP($A22,'Sectors (2)'!$AA$19:$AB$103,2)</f>
        <v>7.122215560276092E-2</v>
      </c>
      <c r="M22" s="6">
        <f>VLOOKUP($A22,'Sectors (3)'!$AA$19:$AB$103,2)</f>
        <v>7.4043457709084382E-2</v>
      </c>
      <c r="N22" s="6">
        <f>VLOOKUP($A22,'Sectors (4)'!$AA$19:$AB$103,2)</f>
        <v>8.8224386628155807E-2</v>
      </c>
      <c r="O22" s="6">
        <f t="shared" si="5"/>
        <v>8.4339185831773772E-2</v>
      </c>
      <c r="P22" s="49">
        <f t="shared" si="6"/>
        <v>8.4339185831773772E-2</v>
      </c>
    </row>
    <row r="23" spans="1:16" x14ac:dyDescent="0.25">
      <c r="A23">
        <v>24</v>
      </c>
      <c r="B23" s="45">
        <f>VLOOKUP($A23,'hours (1)'!$A$19:$C$103,3)</f>
        <v>9.3426673267105631E-2</v>
      </c>
      <c r="C23" s="45">
        <f t="shared" ref="C23:F23" si="21">B23</f>
        <v>9.3426673267105631E-2</v>
      </c>
      <c r="D23" s="45">
        <f t="shared" si="21"/>
        <v>9.3426673267105631E-2</v>
      </c>
      <c r="E23" s="45">
        <f t="shared" si="21"/>
        <v>9.3426673267105631E-2</v>
      </c>
      <c r="F23" s="45">
        <f t="shared" si="21"/>
        <v>9.3426673267105631E-2</v>
      </c>
      <c r="G23" s="45">
        <f t="shared" si="2"/>
        <v>9.3426673267105631E-2</v>
      </c>
      <c r="H23" s="51">
        <f t="shared" si="3"/>
        <v>9.3426673267105631E-2</v>
      </c>
      <c r="J23" s="6">
        <f t="shared" si="4"/>
        <v>9.3426673267105631E-2</v>
      </c>
      <c r="K23" s="6">
        <f>VLOOKUP($A23,'Sectors (1)'!$AA$19:$AB$103,2)</f>
        <v>9.6988809144923055E-2</v>
      </c>
      <c r="L23" s="6">
        <f>VLOOKUP($A23,'Sectors (2)'!$AA$19:$AB$103,2)</f>
        <v>8.1024869908607702E-2</v>
      </c>
      <c r="M23" s="6">
        <f>VLOOKUP($A23,'Sectors (3)'!$AA$19:$AB$103,2)</f>
        <v>8.4366481032641397E-2</v>
      </c>
      <c r="N23" s="6">
        <f>VLOOKUP($A23,'Sectors (4)'!$AA$19:$AB$103,2)</f>
        <v>9.8940807796218153E-2</v>
      </c>
      <c r="O23" s="6">
        <f t="shared" si="5"/>
        <v>9.4582728503404115E-2</v>
      </c>
      <c r="P23" s="49">
        <f t="shared" si="6"/>
        <v>9.4582728503404115E-2</v>
      </c>
    </row>
    <row r="24" spans="1:16" x14ac:dyDescent="0.25">
      <c r="A24">
        <v>25</v>
      </c>
      <c r="B24" s="45">
        <f>VLOOKUP($A24,'hours (1)'!$A$19:$C$103,3)</f>
        <v>0.11389590622001078</v>
      </c>
      <c r="C24" s="45">
        <f t="shared" ref="C24:F24" si="22">B24</f>
        <v>0.11389590622001078</v>
      </c>
      <c r="D24" s="45">
        <f t="shared" si="22"/>
        <v>0.11389590622001078</v>
      </c>
      <c r="E24" s="45">
        <f t="shared" si="22"/>
        <v>0.11389590622001078</v>
      </c>
      <c r="F24" s="45">
        <f t="shared" si="22"/>
        <v>0.11389590622001078</v>
      </c>
      <c r="G24" s="45">
        <f t="shared" si="2"/>
        <v>0.11389590622001078</v>
      </c>
      <c r="H24" s="51">
        <f t="shared" si="3"/>
        <v>0.11389590622001078</v>
      </c>
      <c r="J24" s="6">
        <f t="shared" si="4"/>
        <v>0.11389590622001078</v>
      </c>
      <c r="K24" s="6">
        <f>VLOOKUP($A24,'Sectors (1)'!$AA$19:$AB$103,2)</f>
        <v>0.11835085730981702</v>
      </c>
      <c r="L24" s="6">
        <f>VLOOKUP($A24,'Sectors (2)'!$AA$19:$AB$103,2)</f>
        <v>0.10112251477555359</v>
      </c>
      <c r="M24" s="6">
        <f>VLOOKUP($A24,'Sectors (3)'!$AA$19:$AB$103,2)</f>
        <v>0.10554426208448221</v>
      </c>
      <c r="N24" s="6">
        <f>VLOOKUP($A24,'Sectors (4)'!$AA$19:$AB$103,2)</f>
        <v>0.12082747514237994</v>
      </c>
      <c r="O24" s="6">
        <f t="shared" si="5"/>
        <v>0.11549884515046208</v>
      </c>
      <c r="P24" s="49">
        <f t="shared" si="6"/>
        <v>0.11549884515046208</v>
      </c>
    </row>
    <row r="25" spans="1:16" x14ac:dyDescent="0.25">
      <c r="A25">
        <v>26</v>
      </c>
      <c r="B25" s="45">
        <f>VLOOKUP($A25,'hours (1)'!$A$19:$C$103,3)</f>
        <v>0.11485035882616217</v>
      </c>
      <c r="C25" s="45">
        <f t="shared" ref="C25:F25" si="23">B25</f>
        <v>0.11485035882616217</v>
      </c>
      <c r="D25" s="45">
        <f t="shared" si="23"/>
        <v>0.11485035882616217</v>
      </c>
      <c r="E25" s="45">
        <f t="shared" si="23"/>
        <v>0.11485035882616217</v>
      </c>
      <c r="F25" s="45">
        <f t="shared" si="23"/>
        <v>0.11485035882616217</v>
      </c>
      <c r="G25" s="45">
        <f t="shared" si="2"/>
        <v>0.11485035882616218</v>
      </c>
      <c r="H25" s="51">
        <f t="shared" si="3"/>
        <v>0.11485035882616218</v>
      </c>
      <c r="J25" s="6">
        <f t="shared" si="4"/>
        <v>0.11485035882616217</v>
      </c>
      <c r="K25" s="6">
        <f>VLOOKUP($A25,'Sectors (1)'!$AA$19:$AB$103,2)</f>
        <v>0.1193472741123605</v>
      </c>
      <c r="L25" s="6">
        <f>VLOOKUP($A25,'Sectors (2)'!$AA$19:$AB$103,2)</f>
        <v>0.10206337000471263</v>
      </c>
      <c r="M25" s="6">
        <f>VLOOKUP($A25,'Sectors (3)'!$AA$19:$AB$103,2)</f>
        <v>0.10653623571870391</v>
      </c>
      <c r="N25" s="6">
        <f>VLOOKUP($A25,'Sectors (4)'!$AA$19:$AB$103,2)</f>
        <v>0.12184864123322152</v>
      </c>
      <c r="O25" s="6">
        <f t="shared" si="5"/>
        <v>0.11647453114841133</v>
      </c>
      <c r="P25" s="49">
        <f t="shared" si="6"/>
        <v>0.11647453114841133</v>
      </c>
    </row>
    <row r="26" spans="1:16" x14ac:dyDescent="0.25">
      <c r="A26">
        <v>27</v>
      </c>
      <c r="B26" s="45">
        <f>VLOOKUP($A26,'hours (1)'!$A$19:$C$103,3)</f>
        <v>0.11600350540475785</v>
      </c>
      <c r="C26" s="45">
        <f t="shared" ref="C26:F26" si="24">B26</f>
        <v>0.11600350540475785</v>
      </c>
      <c r="D26" s="45">
        <f t="shared" si="24"/>
        <v>0.11600350540475785</v>
      </c>
      <c r="E26" s="45">
        <f t="shared" si="24"/>
        <v>0.11600350540475785</v>
      </c>
      <c r="F26" s="45">
        <f t="shared" si="24"/>
        <v>0.11600350540475785</v>
      </c>
      <c r="G26" s="45">
        <f t="shared" si="2"/>
        <v>0.11600350540475785</v>
      </c>
      <c r="H26" s="51">
        <f t="shared" si="3"/>
        <v>0.11600350540475785</v>
      </c>
      <c r="J26" s="6">
        <f t="shared" si="4"/>
        <v>0.11600350540475785</v>
      </c>
      <c r="K26" s="6">
        <f>VLOOKUP($A26,'Sectors (1)'!$AA$19:$AB$103,2)</f>
        <v>0.12055147983851935</v>
      </c>
      <c r="L26" s="6">
        <f>VLOOKUP($A26,'Sectors (2)'!$AA$19:$AB$103,2)</f>
        <v>0.1032040832364816</v>
      </c>
      <c r="M26" s="6">
        <f>VLOOKUP($A26,'Sectors (3)'!$AA$19:$AB$103,2)</f>
        <v>0.10773952101294618</v>
      </c>
      <c r="N26" s="6">
        <f>VLOOKUP($A26,'Sectors (4)'!$AA$19:$AB$103,2)</f>
        <v>0.12308305686446397</v>
      </c>
      <c r="O26" s="6">
        <f t="shared" si="5"/>
        <v>0.11765375643684364</v>
      </c>
      <c r="P26" s="49">
        <f t="shared" si="6"/>
        <v>0.11765375643684364</v>
      </c>
    </row>
    <row r="27" spans="1:16" x14ac:dyDescent="0.25">
      <c r="A27">
        <v>28</v>
      </c>
      <c r="B27" s="45">
        <f>VLOOKUP($A27,'hours (1)'!$A$19:$C$103,3)</f>
        <v>0.11929343573792461</v>
      </c>
      <c r="C27" s="45">
        <f t="shared" ref="C27:F27" si="25">B27</f>
        <v>0.11929343573792461</v>
      </c>
      <c r="D27" s="45">
        <f t="shared" si="25"/>
        <v>0.11929343573792461</v>
      </c>
      <c r="E27" s="45">
        <f t="shared" si="25"/>
        <v>0.11929343573792461</v>
      </c>
      <c r="F27" s="45">
        <f t="shared" si="25"/>
        <v>0.11929343573792461</v>
      </c>
      <c r="G27" s="45">
        <f t="shared" si="2"/>
        <v>0.11929343573792461</v>
      </c>
      <c r="H27" s="51">
        <f t="shared" si="3"/>
        <v>0.11929343573792461</v>
      </c>
      <c r="J27" s="6">
        <f t="shared" si="4"/>
        <v>0.11929343573792461</v>
      </c>
      <c r="K27" s="6">
        <f>VLOOKUP($A27,'Sectors (1)'!$AA$19:$AB$103,2)</f>
        <v>0.12398800065304882</v>
      </c>
      <c r="L27" s="6">
        <f>VLOOKUP($A27,'Sectors (2)'!$AA$19:$AB$103,2)</f>
        <v>0.10646871042473234</v>
      </c>
      <c r="M27" s="6">
        <f>VLOOKUP($A27,'Sectors (3)'!$AA$19:$AB$103,2)</f>
        <v>0.11118474611251655</v>
      </c>
      <c r="N27" s="6">
        <f>VLOOKUP($A27,'Sectors (4)'!$AA$19:$AB$103,2)</f>
        <v>0.12660655421612024</v>
      </c>
      <c r="O27" s="6">
        <f t="shared" si="5"/>
        <v>0.12101917403985914</v>
      </c>
      <c r="P27" s="49">
        <f t="shared" si="6"/>
        <v>0.12101917403985914</v>
      </c>
    </row>
    <row r="28" spans="1:16" x14ac:dyDescent="0.25">
      <c r="A28">
        <v>29</v>
      </c>
      <c r="B28" s="45">
        <f>VLOOKUP($A28,'hours (1)'!$A$19:$C$103,3)</f>
        <v>0.1198067871966501</v>
      </c>
      <c r="C28" s="45">
        <f t="shared" ref="C28:F28" si="26">B28</f>
        <v>0.1198067871966501</v>
      </c>
      <c r="D28" s="45">
        <f t="shared" si="26"/>
        <v>0.1198067871966501</v>
      </c>
      <c r="E28" s="45">
        <f t="shared" si="26"/>
        <v>0.1198067871966501</v>
      </c>
      <c r="F28" s="45">
        <f t="shared" si="26"/>
        <v>0.1198067871966501</v>
      </c>
      <c r="G28" s="45">
        <f t="shared" si="2"/>
        <v>0.11980678719665011</v>
      </c>
      <c r="H28" s="51">
        <f t="shared" si="3"/>
        <v>0.11980678719665011</v>
      </c>
      <c r="J28" s="6">
        <f t="shared" si="4"/>
        <v>0.1198067871966501</v>
      </c>
      <c r="K28" s="6">
        <f>VLOOKUP($A28,'Sectors (1)'!$AA$19:$AB$103,2)</f>
        <v>0.23328959803575217</v>
      </c>
      <c r="L28" s="6">
        <f>VLOOKUP($A28,'Sectors (2)'!$AA$19:$AB$103,2)</f>
        <v>0.10697953770650788</v>
      </c>
      <c r="M28" s="6">
        <f>VLOOKUP($A28,'Sectors (3)'!$AA$19:$AB$103,2)</f>
        <v>0.1686177836999882</v>
      </c>
      <c r="N28" s="6">
        <f>VLOOKUP($A28,'Sectors (4)'!$AA$19:$AB$103,2)</f>
        <v>0.25357181633918008</v>
      </c>
      <c r="O28" s="6">
        <f t="shared" si="5"/>
        <v>0.16831904402669892</v>
      </c>
      <c r="P28" s="49">
        <f t="shared" si="6"/>
        <v>0.16831904402669892</v>
      </c>
    </row>
    <row r="29" spans="1:16" x14ac:dyDescent="0.25">
      <c r="A29">
        <v>30</v>
      </c>
      <c r="B29" s="45">
        <f>VLOOKUP($A29,'hours (1)'!$A$19:$C$103,3)</f>
        <v>0.15457518191435884</v>
      </c>
      <c r="C29" s="45">
        <f t="shared" ref="C29:F29" si="27">B29</f>
        <v>0.15457518191435884</v>
      </c>
      <c r="D29" s="45">
        <f t="shared" si="27"/>
        <v>0.15457518191435884</v>
      </c>
      <c r="E29" s="45">
        <f t="shared" si="27"/>
        <v>0.15457518191435884</v>
      </c>
      <c r="F29" s="45">
        <f t="shared" si="27"/>
        <v>0.15457518191435884</v>
      </c>
      <c r="G29" s="45">
        <f t="shared" si="2"/>
        <v>0.15457518191435884</v>
      </c>
      <c r="H29" s="51">
        <f t="shared" si="3"/>
        <v>0.15457518191435884</v>
      </c>
      <c r="J29" s="6">
        <f t="shared" si="4"/>
        <v>0.15457518191435884</v>
      </c>
      <c r="K29" s="6">
        <f>VLOOKUP($A29,'Sectors (1)'!$AA$19:$AB$103,2)</f>
        <v>0.23328959803575217</v>
      </c>
      <c r="L29" s="6">
        <f>VLOOKUP($A29,'Sectors (2)'!$AA$19:$AB$103,2)</f>
        <v>0.14166398637351788</v>
      </c>
      <c r="M29" s="6">
        <f>VLOOKUP($A29,'Sectors (3)'!$AA$19:$AB$103,2)</f>
        <v>0.1686177836999882</v>
      </c>
      <c r="N29" s="6">
        <f>VLOOKUP($A29,'Sectors (4)'!$AA$19:$AB$103,2)</f>
        <v>0.25357181633918008</v>
      </c>
      <c r="O29" s="6">
        <f t="shared" si="5"/>
        <v>0.18846233338504365</v>
      </c>
      <c r="P29" s="49">
        <f t="shared" si="6"/>
        <v>0.18846233338504365</v>
      </c>
    </row>
    <row r="30" spans="1:16" x14ac:dyDescent="0.25">
      <c r="A30">
        <v>31</v>
      </c>
      <c r="B30" s="45">
        <f>VLOOKUP($A30,'hours (1)'!$A$19:$C$103,3)</f>
        <v>0.15489940250110323</v>
      </c>
      <c r="C30" s="45">
        <f t="shared" ref="C30:F30" si="28">B30</f>
        <v>0.15489940250110323</v>
      </c>
      <c r="D30" s="45">
        <f t="shared" si="28"/>
        <v>0.15489940250110323</v>
      </c>
      <c r="E30" s="45">
        <f t="shared" si="28"/>
        <v>0.15489940250110323</v>
      </c>
      <c r="F30" s="45">
        <f t="shared" si="28"/>
        <v>0.15489940250110323</v>
      </c>
      <c r="G30" s="45">
        <f t="shared" si="2"/>
        <v>0.15489940250110323</v>
      </c>
      <c r="H30" s="51">
        <f t="shared" si="3"/>
        <v>0.15489940250110323</v>
      </c>
      <c r="J30" s="6">
        <f t="shared" si="4"/>
        <v>0.15489940250110323</v>
      </c>
      <c r="K30" s="6">
        <f>VLOOKUP($A30,'Sectors (1)'!$AA$19:$AB$103,2)</f>
        <v>0.23328959803575217</v>
      </c>
      <c r="L30" s="6">
        <f>VLOOKUP($A30,'Sectors (2)'!$AA$19:$AB$103,2)</f>
        <v>0.14198815965790124</v>
      </c>
      <c r="M30" s="6">
        <f>VLOOKUP($A30,'Sectors (3)'!$AA$19:$AB$103,2)</f>
        <v>0.1686177836999882</v>
      </c>
      <c r="N30" s="6">
        <f>VLOOKUP($A30,'Sectors (4)'!$AA$19:$AB$103,2)</f>
        <v>0.25357181633918008</v>
      </c>
      <c r="O30" s="6">
        <f t="shared" si="5"/>
        <v>0.18865018544252546</v>
      </c>
      <c r="P30" s="49">
        <f t="shared" si="6"/>
        <v>0.18865018544252546</v>
      </c>
    </row>
    <row r="31" spans="1:16" x14ac:dyDescent="0.25">
      <c r="A31">
        <v>32</v>
      </c>
      <c r="B31" s="45">
        <f>VLOOKUP($A31,'hours (1)'!$A$19:$C$103,3)</f>
        <v>0.16900874562714646</v>
      </c>
      <c r="C31" s="45">
        <f t="shared" ref="C31:F31" si="29">B31</f>
        <v>0.16900874562714646</v>
      </c>
      <c r="D31" s="45">
        <f t="shared" si="29"/>
        <v>0.16900874562714646</v>
      </c>
      <c r="E31" s="45">
        <f t="shared" si="29"/>
        <v>0.16900874562714646</v>
      </c>
      <c r="F31" s="45">
        <f t="shared" si="29"/>
        <v>0.16900874562714646</v>
      </c>
      <c r="G31" s="45">
        <f t="shared" si="2"/>
        <v>0.16900874562714646</v>
      </c>
      <c r="H31" s="51">
        <f t="shared" si="3"/>
        <v>0.16900874562714646</v>
      </c>
      <c r="J31" s="6">
        <f t="shared" si="4"/>
        <v>0.16900874562714646</v>
      </c>
      <c r="K31" s="6">
        <f>VLOOKUP($A31,'Sectors (1)'!$AA$19:$AB$103,2)</f>
        <v>0.23328959803575217</v>
      </c>
      <c r="L31" s="6">
        <f>VLOOKUP($A31,'Sectors (2)'!$AA$19:$AB$103,2)</f>
        <v>0.15612458473337898</v>
      </c>
      <c r="M31" s="6">
        <f>VLOOKUP($A31,'Sectors (3)'!$AA$19:$AB$103,2)</f>
        <v>0.1686177836999882</v>
      </c>
      <c r="N31" s="6">
        <f>VLOOKUP($A31,'Sectors (4)'!$AA$19:$AB$103,2)</f>
        <v>0.25357181633918008</v>
      </c>
      <c r="O31" s="6">
        <f t="shared" si="5"/>
        <v>0.1968255876118577</v>
      </c>
      <c r="P31" s="49">
        <f t="shared" si="6"/>
        <v>0.1968255876118577</v>
      </c>
    </row>
    <row r="32" spans="1:16" x14ac:dyDescent="0.25">
      <c r="A32">
        <v>33</v>
      </c>
      <c r="B32" s="45">
        <f>VLOOKUP($A32,'hours (1)'!$A$19:$C$103,3)</f>
        <v>0.17010413829726515</v>
      </c>
      <c r="C32" s="45">
        <f t="shared" ref="C32:F32" si="30">B32</f>
        <v>0.17010413829726515</v>
      </c>
      <c r="D32" s="45">
        <f t="shared" si="30"/>
        <v>0.17010413829726515</v>
      </c>
      <c r="E32" s="45">
        <f t="shared" si="30"/>
        <v>0.17010413829726515</v>
      </c>
      <c r="F32" s="45">
        <f t="shared" si="30"/>
        <v>0.17010413829726515</v>
      </c>
      <c r="G32" s="45">
        <f t="shared" si="2"/>
        <v>0.17010413829726515</v>
      </c>
      <c r="H32" s="51">
        <f t="shared" si="3"/>
        <v>0.17010413829726515</v>
      </c>
      <c r="J32" s="6">
        <f t="shared" si="4"/>
        <v>0.17010413829726515</v>
      </c>
      <c r="K32" s="6">
        <f>VLOOKUP($A32,'Sectors (1)'!$AA$19:$AB$103,2)</f>
        <v>0.23328959803575217</v>
      </c>
      <c r="L32" s="6">
        <f>VLOOKUP($A32,'Sectors (2)'!$AA$19:$AB$103,2)</f>
        <v>0.15722414787205288</v>
      </c>
      <c r="M32" s="6">
        <f>VLOOKUP($A32,'Sectors (3)'!$AA$19:$AB$103,2)</f>
        <v>0.1686177836999882</v>
      </c>
      <c r="N32" s="6">
        <f>VLOOKUP($A32,'Sectors (4)'!$AA$19:$AB$103,2)</f>
        <v>0.25357181633918008</v>
      </c>
      <c r="O32" s="6">
        <f t="shared" si="5"/>
        <v>0.19746032898171911</v>
      </c>
      <c r="P32" s="49">
        <f t="shared" si="6"/>
        <v>0.19746032898171911</v>
      </c>
    </row>
    <row r="33" spans="1:16" x14ac:dyDescent="0.25">
      <c r="A33">
        <v>34</v>
      </c>
      <c r="B33" s="45">
        <f>VLOOKUP($A33,'hours (1)'!$A$19:$C$103,3)</f>
        <v>0.1715603603783884</v>
      </c>
      <c r="C33" s="45">
        <f t="shared" ref="C33:F33" si="31">B33</f>
        <v>0.1715603603783884</v>
      </c>
      <c r="D33" s="45">
        <f t="shared" si="31"/>
        <v>0.1715603603783884</v>
      </c>
      <c r="E33" s="45">
        <f t="shared" si="31"/>
        <v>0.1715603603783884</v>
      </c>
      <c r="F33" s="45">
        <f t="shared" si="31"/>
        <v>0.1715603603783884</v>
      </c>
      <c r="G33" s="45">
        <f t="shared" si="2"/>
        <v>0.1715603603783884</v>
      </c>
      <c r="H33" s="51">
        <f t="shared" si="3"/>
        <v>0.1715603603783884</v>
      </c>
      <c r="J33" s="6">
        <f t="shared" si="4"/>
        <v>0.1715603603783884</v>
      </c>
      <c r="K33" s="6">
        <f>VLOOKUP($A33,'Sectors (1)'!$AA$19:$AB$103,2)</f>
        <v>0.23328959803575217</v>
      </c>
      <c r="L33" s="6">
        <f>VLOOKUP($A33,'Sectors (2)'!$AA$19:$AB$103,2)</f>
        <v>0.15868843634093988</v>
      </c>
      <c r="M33" s="6">
        <f>VLOOKUP($A33,'Sectors (3)'!$AA$19:$AB$103,2)</f>
        <v>0.1686177836999882</v>
      </c>
      <c r="N33" s="6">
        <f>VLOOKUP($A33,'Sectors (4)'!$AA$19:$AB$103,2)</f>
        <v>0.25357181633918008</v>
      </c>
      <c r="O33" s="6">
        <f t="shared" si="5"/>
        <v>0.1983042021804883</v>
      </c>
      <c r="P33" s="49">
        <f t="shared" si="6"/>
        <v>0.1983042021804883</v>
      </c>
    </row>
    <row r="34" spans="1:16" x14ac:dyDescent="0.25">
      <c r="A34">
        <v>35</v>
      </c>
      <c r="B34" s="45">
        <f>VLOOKUP($A34,'hours (1)'!$A$19:$C$103,3)</f>
        <v>0.21498679764670786</v>
      </c>
      <c r="C34" s="45">
        <f t="shared" ref="C34:F34" si="32">B34</f>
        <v>0.21498679764670786</v>
      </c>
      <c r="D34" s="45">
        <f t="shared" si="32"/>
        <v>0.21498679764670786</v>
      </c>
      <c r="E34" s="45">
        <f t="shared" si="32"/>
        <v>0.21498679764670786</v>
      </c>
      <c r="F34" s="45">
        <f t="shared" si="32"/>
        <v>0.21498679764670786</v>
      </c>
      <c r="G34" s="45">
        <f t="shared" si="2"/>
        <v>0.21498679764670783</v>
      </c>
      <c r="H34" s="51">
        <f t="shared" si="3"/>
        <v>0.21498679764670783</v>
      </c>
      <c r="J34" s="6">
        <f t="shared" si="4"/>
        <v>0.21498679764670786</v>
      </c>
      <c r="K34" s="6">
        <f>VLOOKUP($A34,'Sectors (1)'!$AA$19:$AB$103,2)</f>
        <v>0.23328959803575217</v>
      </c>
      <c r="L34" s="6">
        <f>VLOOKUP($A34,'Sectors (2)'!$AA$19:$AB$103,2)</f>
        <v>0.20242466181988139</v>
      </c>
      <c r="M34" s="6">
        <f>VLOOKUP($A34,'Sectors (3)'!$AA$19:$AB$103,2)</f>
        <v>0.21096930568190939</v>
      </c>
      <c r="N34" s="6">
        <f>VLOOKUP($A34,'Sectors (4)'!$AA$19:$AB$103,2)</f>
        <v>0.25357181633918008</v>
      </c>
      <c r="O34" s="6">
        <f t="shared" si="5"/>
        <v>0.22494605681998447</v>
      </c>
      <c r="P34" s="49">
        <f t="shared" si="6"/>
        <v>0.22494605681998447</v>
      </c>
    </row>
    <row r="35" spans="1:16" x14ac:dyDescent="0.25">
      <c r="A35">
        <v>36</v>
      </c>
      <c r="B35" s="45">
        <f>VLOOKUP($A35,'hours (1)'!$A$19:$C$103,3)</f>
        <v>0.22708139817903777</v>
      </c>
      <c r="C35" s="45">
        <f t="shared" ref="C35:F35" si="33">B35</f>
        <v>0.22708139817903777</v>
      </c>
      <c r="D35" s="45">
        <f t="shared" si="33"/>
        <v>0.22708139817903777</v>
      </c>
      <c r="E35" s="45">
        <f t="shared" si="33"/>
        <v>0.22708139817903777</v>
      </c>
      <c r="F35" s="45">
        <f t="shared" si="33"/>
        <v>0.22708139817903777</v>
      </c>
      <c r="G35" s="45">
        <f t="shared" si="2"/>
        <v>0.22708139817903775</v>
      </c>
      <c r="H35" s="51">
        <f t="shared" si="3"/>
        <v>0.22708139817903775</v>
      </c>
      <c r="J35" s="6">
        <f t="shared" si="4"/>
        <v>0.22708139817903777</v>
      </c>
      <c r="K35" s="6">
        <f>VLOOKUP($A35,'Sectors (1)'!$AA$19:$AB$103,2)</f>
        <v>0.23328959803575217</v>
      </c>
      <c r="L35" s="6">
        <f>VLOOKUP($A35,'Sectors (2)'!$AA$19:$AB$103,2)</f>
        <v>0.21462334800511548</v>
      </c>
      <c r="M35" s="6">
        <f>VLOOKUP($A35,'Sectors (3)'!$AA$19:$AB$103,2)</f>
        <v>0.22282337991931545</v>
      </c>
      <c r="N35" s="6">
        <f>VLOOKUP($A35,'Sectors (4)'!$AA$19:$AB$103,2)</f>
        <v>0.25357181633918008</v>
      </c>
      <c r="O35" s="6">
        <f t="shared" si="5"/>
        <v>0.23236838050204281</v>
      </c>
      <c r="P35" s="49">
        <f t="shared" si="6"/>
        <v>0.23236838050204281</v>
      </c>
    </row>
    <row r="36" spans="1:16" x14ac:dyDescent="0.25">
      <c r="A36">
        <v>37</v>
      </c>
      <c r="B36" s="45">
        <f>VLOOKUP($A36,'hours (1)'!$A$19:$C$103,3)</f>
        <v>0.23311625359606086</v>
      </c>
      <c r="C36" s="45">
        <f t="shared" ref="C36:F36" si="34">B36</f>
        <v>0.23311625359606086</v>
      </c>
      <c r="D36" s="45">
        <f t="shared" si="34"/>
        <v>0.23311625359606086</v>
      </c>
      <c r="E36" s="45">
        <f t="shared" si="34"/>
        <v>0.23311625359606086</v>
      </c>
      <c r="F36" s="45">
        <f t="shared" si="34"/>
        <v>0.23311625359606086</v>
      </c>
      <c r="G36" s="45">
        <f t="shared" si="2"/>
        <v>0.23311625359606086</v>
      </c>
      <c r="H36" s="51">
        <f t="shared" si="3"/>
        <v>0.23311625359606086</v>
      </c>
      <c r="J36" s="6">
        <f t="shared" si="4"/>
        <v>0.23311625359606086</v>
      </c>
      <c r="K36" s="6">
        <f>VLOOKUP($A36,'Sectors (1)'!$AA$19:$AB$103,2)</f>
        <v>0.24490841356274376</v>
      </c>
      <c r="L36" s="6">
        <f>VLOOKUP($A36,'Sectors (2)'!$AA$19:$AB$103,2)</f>
        <v>0.22071836827262942</v>
      </c>
      <c r="M36" s="6">
        <f>VLOOKUP($A36,'Sectors (3)'!$AA$19:$AB$103,2)</f>
        <v>0.22876554799836116</v>
      </c>
      <c r="N36" s="6">
        <f>VLOOKUP($A36,'Sectors (4)'!$AA$19:$AB$103,2)</f>
        <v>0.25357181633918008</v>
      </c>
      <c r="O36" s="6">
        <f t="shared" si="5"/>
        <v>0.23868916831902767</v>
      </c>
      <c r="P36" s="49">
        <f t="shared" si="6"/>
        <v>0.23868916831902767</v>
      </c>
    </row>
    <row r="37" spans="1:16" x14ac:dyDescent="0.25">
      <c r="A37">
        <v>38</v>
      </c>
      <c r="B37" s="45">
        <f>VLOOKUP($A37,'hours (1)'!$A$19:$C$103,3)</f>
        <v>0.24535670356090339</v>
      </c>
      <c r="C37" s="45">
        <f t="shared" ref="C37:F37" si="35">B37</f>
        <v>0.24535670356090339</v>
      </c>
      <c r="D37" s="45">
        <f t="shared" si="35"/>
        <v>0.24535670356090339</v>
      </c>
      <c r="E37" s="45">
        <f t="shared" si="35"/>
        <v>0.24535670356090339</v>
      </c>
      <c r="F37" s="45">
        <f t="shared" si="35"/>
        <v>0.24535670356090339</v>
      </c>
      <c r="G37" s="45">
        <f t="shared" si="2"/>
        <v>0.24535670356090339</v>
      </c>
      <c r="H37" s="51">
        <f t="shared" si="3"/>
        <v>0.24535670356090339</v>
      </c>
      <c r="J37" s="6">
        <f t="shared" si="4"/>
        <v>0.24535670356090339</v>
      </c>
      <c r="K37" s="6">
        <f>VLOOKUP($A37,'Sectors (1)'!$AA$19:$AB$103,2)</f>
        <v>0.25072310367611084</v>
      </c>
      <c r="L37" s="6">
        <f>VLOOKUP($A37,'Sectors (2)'!$AA$19:$AB$103,2)</f>
        <v>0.2330963506489408</v>
      </c>
      <c r="M37" s="6">
        <f>VLOOKUP($A37,'Sectors (3)'!$AA$19:$AB$103,2)</f>
        <v>0.24086971945778435</v>
      </c>
      <c r="N37" s="6">
        <f>VLOOKUP($A37,'Sectors (4)'!$AA$19:$AB$103,2)</f>
        <v>0.25927301259314212</v>
      </c>
      <c r="O37" s="6">
        <f t="shared" si="5"/>
        <v>0.24843018599768391</v>
      </c>
      <c r="P37" s="49">
        <f t="shared" si="6"/>
        <v>0.24843018599768391</v>
      </c>
    </row>
    <row r="38" spans="1:16" x14ac:dyDescent="0.25">
      <c r="A38">
        <v>39</v>
      </c>
      <c r="B38" s="45">
        <f>VLOOKUP($A38,'hours (1)'!$A$19:$C$103,3)</f>
        <v>0.24692476483110251</v>
      </c>
      <c r="C38" s="45">
        <f t="shared" ref="C38:F38" si="36">B38</f>
        <v>0.24692476483110251</v>
      </c>
      <c r="D38" s="45">
        <f t="shared" si="36"/>
        <v>0.24692476483110251</v>
      </c>
      <c r="E38" s="45">
        <f t="shared" si="36"/>
        <v>0.24692476483110251</v>
      </c>
      <c r="F38" s="45">
        <f t="shared" si="36"/>
        <v>0.24692476483110251</v>
      </c>
      <c r="G38" s="45">
        <f t="shared" si="2"/>
        <v>0.24692476483110251</v>
      </c>
      <c r="H38" s="51">
        <f t="shared" si="3"/>
        <v>0.24692476483110251</v>
      </c>
      <c r="J38" s="6">
        <f t="shared" si="4"/>
        <v>0.24692476483110251</v>
      </c>
      <c r="K38" s="6">
        <f>VLOOKUP($A38,'Sectors (1)'!$AA$19:$AB$103,2)</f>
        <v>0.26254975161658778</v>
      </c>
      <c r="L38" s="6">
        <f>VLOOKUP($A38,'Sectors (2)'!$AA$19:$AB$103,2)</f>
        <v>0.23468387922741141</v>
      </c>
      <c r="M38" s="6">
        <f>VLOOKUP($A38,'Sectors (3)'!$AA$19:$AB$103,2)</f>
        <v>0.24242651896511408</v>
      </c>
      <c r="N38" s="6">
        <f>VLOOKUP($A38,'Sectors (4)'!$AA$19:$AB$103,2)</f>
        <v>0.27088794235373603</v>
      </c>
      <c r="O38" s="6">
        <f t="shared" si="5"/>
        <v>0.25392162744948465</v>
      </c>
      <c r="P38" s="49">
        <f t="shared" si="6"/>
        <v>0.25392162744948465</v>
      </c>
    </row>
    <row r="39" spans="1:16" x14ac:dyDescent="0.25">
      <c r="A39">
        <v>40</v>
      </c>
      <c r="B39" s="45">
        <f>VLOOKUP($A39,'hours (1)'!$A$19:$C$103,3)</f>
        <v>0.76671434612042266</v>
      </c>
      <c r="C39" s="45">
        <f t="shared" ref="C39:F39" si="37">B39</f>
        <v>0.76671434612042266</v>
      </c>
      <c r="D39" s="45">
        <f t="shared" si="37"/>
        <v>0.76671434612042266</v>
      </c>
      <c r="E39" s="45">
        <f t="shared" si="37"/>
        <v>0.76671434612042266</v>
      </c>
      <c r="F39" s="45">
        <f t="shared" si="37"/>
        <v>0.76671434612042266</v>
      </c>
      <c r="G39" s="45">
        <f t="shared" si="2"/>
        <v>0.76671434612042266</v>
      </c>
      <c r="H39" s="51">
        <f t="shared" si="3"/>
        <v>0.76671434612042266</v>
      </c>
      <c r="J39" s="6">
        <f t="shared" si="4"/>
        <v>0.76671434612042266</v>
      </c>
      <c r="K39" s="6">
        <f>VLOOKUP($A39,'Sectors (1)'!$AA$19:$AB$103,2)</f>
        <v>0.26406874291224608</v>
      </c>
      <c r="L39" s="6">
        <f>VLOOKUP($A39,'Sectors (2)'!$AA$19:$AB$103,2)</f>
        <v>0.76149850722645029</v>
      </c>
      <c r="M39" s="6">
        <f>VLOOKUP($A39,'Sectors (3)'!$AA$19:$AB$103,2)</f>
        <v>0.76040805474491791</v>
      </c>
      <c r="N39" s="6">
        <f>VLOOKUP($A39,'Sectors (4)'!$AA$19:$AB$103,2)</f>
        <v>0.27238203651428378</v>
      </c>
      <c r="O39" s="6">
        <f t="shared" si="5"/>
        <v>0.57383431195541756</v>
      </c>
      <c r="P39" s="49">
        <f t="shared" si="6"/>
        <v>0.57383431195541756</v>
      </c>
    </row>
    <row r="40" spans="1:16" x14ac:dyDescent="0.25">
      <c r="A40">
        <v>41</v>
      </c>
      <c r="B40" s="45">
        <f>VLOOKUP($A40,'hours (1)'!$A$19:$C$103,3)</f>
        <v>0.76739464569658167</v>
      </c>
      <c r="C40" s="45">
        <f t="shared" ref="C40:F40" si="38">B40</f>
        <v>0.76739464569658167</v>
      </c>
      <c r="D40" s="45">
        <f t="shared" si="38"/>
        <v>0.76739464569658167</v>
      </c>
      <c r="E40" s="45">
        <f t="shared" si="38"/>
        <v>0.76739464569658167</v>
      </c>
      <c r="F40" s="45">
        <f t="shared" si="38"/>
        <v>0.76739464569658167</v>
      </c>
      <c r="G40" s="45">
        <f t="shared" si="2"/>
        <v>0.76739464569658167</v>
      </c>
      <c r="H40" s="51">
        <f t="shared" si="3"/>
        <v>0.76739464569658167</v>
      </c>
      <c r="J40" s="6">
        <f t="shared" si="4"/>
        <v>0.76739464569658167</v>
      </c>
      <c r="K40" s="6">
        <f>VLOOKUP($A40,'Sectors (1)'!$AA$19:$AB$103,2)</f>
        <v>0.7688210886207838</v>
      </c>
      <c r="L40" s="6">
        <f>VLOOKUP($A40,'Sectors (2)'!$AA$19:$AB$103,2)</f>
        <v>0.7621887012743217</v>
      </c>
      <c r="M40" s="6">
        <f>VLOOKUP($A40,'Sectors (3)'!$AA$19:$AB$103,2)</f>
        <v>0.7610883542072876</v>
      </c>
      <c r="N40" s="6">
        <f>VLOOKUP($A40,'Sectors (4)'!$AA$19:$AB$103,2)</f>
        <v>0.7695758640473449</v>
      </c>
      <c r="O40" s="6">
        <f t="shared" si="5"/>
        <v>0.76775579918690495</v>
      </c>
      <c r="P40" s="49">
        <f t="shared" si="6"/>
        <v>0.76775579918690495</v>
      </c>
    </row>
    <row r="41" spans="1:16" x14ac:dyDescent="0.25">
      <c r="A41">
        <v>42</v>
      </c>
      <c r="B41" s="45">
        <f>VLOOKUP($A41,'hours (1)'!$A$19:$C$103,3)</f>
        <v>0.77246210956454286</v>
      </c>
      <c r="C41" s="45">
        <f t="shared" ref="C41:F41" si="39">B41</f>
        <v>0.77246210956454286</v>
      </c>
      <c r="D41" s="45">
        <f t="shared" si="39"/>
        <v>0.77246210956454286</v>
      </c>
      <c r="E41" s="45">
        <f t="shared" si="39"/>
        <v>0.77246210956454286</v>
      </c>
      <c r="F41" s="45">
        <f t="shared" si="39"/>
        <v>0.77246210956454286</v>
      </c>
      <c r="G41" s="45">
        <f t="shared" si="2"/>
        <v>0.77246210956454286</v>
      </c>
      <c r="H41" s="51">
        <f t="shared" si="3"/>
        <v>0.77246210956454286</v>
      </c>
      <c r="J41" s="6">
        <f t="shared" si="4"/>
        <v>0.77246210956454286</v>
      </c>
      <c r="K41" s="6">
        <f>VLOOKUP($A41,'Sectors (1)'!$AA$19:$AB$103,2)</f>
        <v>0.76948322329063967</v>
      </c>
      <c r="L41" s="6">
        <f>VLOOKUP($A41,'Sectors (2)'!$AA$19:$AB$103,2)</f>
        <v>0.76733475562885611</v>
      </c>
      <c r="M41" s="6">
        <f>VLOOKUP($A41,'Sectors (3)'!$AA$19:$AB$103,2)</f>
        <v>0.76617240264999853</v>
      </c>
      <c r="N41" s="6">
        <f>VLOOKUP($A41,'Sectors (4)'!$AA$19:$AB$103,2)</f>
        <v>0.77022896365737847</v>
      </c>
      <c r="O41" s="6">
        <f t="shared" si="5"/>
        <v>0.77112432293633293</v>
      </c>
      <c r="P41" s="49">
        <f t="shared" si="6"/>
        <v>0.77112432293633293</v>
      </c>
    </row>
    <row r="42" spans="1:16" x14ac:dyDescent="0.25">
      <c r="A42">
        <v>43</v>
      </c>
      <c r="B42" s="45">
        <f>VLOOKUP($A42,'hours (1)'!$A$19:$C$103,3)</f>
        <v>0.77537015019866995</v>
      </c>
      <c r="C42" s="45">
        <f t="shared" ref="C42:F42" si="40">B42</f>
        <v>0.77537015019866995</v>
      </c>
      <c r="D42" s="45">
        <f t="shared" si="40"/>
        <v>0.77537015019866995</v>
      </c>
      <c r="E42" s="45">
        <f t="shared" si="40"/>
        <v>0.77537015019866995</v>
      </c>
      <c r="F42" s="45">
        <f t="shared" si="40"/>
        <v>0.77537015019866995</v>
      </c>
      <c r="G42" s="45">
        <f t="shared" si="2"/>
        <v>0.77537015019867006</v>
      </c>
      <c r="H42" s="51">
        <f t="shared" si="3"/>
        <v>0.77537015019867006</v>
      </c>
      <c r="J42" s="6">
        <f t="shared" si="4"/>
        <v>0.77537015019866995</v>
      </c>
      <c r="K42" s="6">
        <f>VLOOKUP($A42,'Sectors (1)'!$AA$19:$AB$103,2)</f>
        <v>0.77442604014758709</v>
      </c>
      <c r="L42" s="6">
        <f>VLOOKUP($A42,'Sectors (2)'!$AA$19:$AB$103,2)</f>
        <v>0.77029053076572906</v>
      </c>
      <c r="M42" s="6">
        <f>VLOOKUP($A42,'Sectors (3)'!$AA$19:$AB$103,2)</f>
        <v>0.76909893269665397</v>
      </c>
      <c r="N42" s="6">
        <f>VLOOKUP($A42,'Sectors (4)'!$AA$19:$AB$103,2)</f>
        <v>0.77511051564635403</v>
      </c>
      <c r="O42" s="6">
        <f t="shared" si="5"/>
        <v>0.77480895156246099</v>
      </c>
      <c r="P42" s="49">
        <f t="shared" si="6"/>
        <v>0.77480895156246099</v>
      </c>
    </row>
    <row r="43" spans="1:16" x14ac:dyDescent="0.25">
      <c r="A43">
        <v>44</v>
      </c>
      <c r="B43" s="45">
        <f>VLOOKUP($A43,'hours (1)'!$A$19:$C$103,3)</f>
        <v>0.77846719161054956</v>
      </c>
      <c r="C43" s="45">
        <f t="shared" ref="C43:F43" si="41">B43</f>
        <v>0.77846719161054956</v>
      </c>
      <c r="D43" s="45">
        <f t="shared" si="41"/>
        <v>0.77846719161054956</v>
      </c>
      <c r="E43" s="45">
        <f t="shared" si="41"/>
        <v>0.77846719161054956</v>
      </c>
      <c r="F43" s="45">
        <f t="shared" si="41"/>
        <v>0.77846719161054956</v>
      </c>
      <c r="G43" s="45">
        <f t="shared" si="2"/>
        <v>0.77846719161054967</v>
      </c>
      <c r="H43" s="51">
        <f t="shared" si="3"/>
        <v>0.77846719161054967</v>
      </c>
      <c r="J43" s="6">
        <f t="shared" si="4"/>
        <v>0.77846719161054956</v>
      </c>
      <c r="K43" s="6">
        <f>VLOOKUP($A43,'Sectors (1)'!$AA$19:$AB$103,2)</f>
        <v>0.77726833642559923</v>
      </c>
      <c r="L43" s="6">
        <f>VLOOKUP($A43,'Sectors (2)'!$AA$19:$AB$103,2)</f>
        <v>0.77344104848646733</v>
      </c>
      <c r="M43" s="6">
        <f>VLOOKUP($A43,'Sectors (3)'!$AA$19:$AB$103,2)</f>
        <v>0.77222468790145005</v>
      </c>
      <c r="N43" s="6">
        <f>VLOOKUP($A43,'Sectors (4)'!$AA$19:$AB$103,2)</f>
        <v>0.77792093281159957</v>
      </c>
      <c r="O43" s="6">
        <f t="shared" si="5"/>
        <v>0.77780453217129608</v>
      </c>
      <c r="P43" s="49">
        <f t="shared" si="6"/>
        <v>0.77780453217129608</v>
      </c>
    </row>
    <row r="44" spans="1:16" x14ac:dyDescent="0.25">
      <c r="A44">
        <v>45</v>
      </c>
      <c r="B44" s="45">
        <f>VLOOKUP($A44,'hours (1)'!$A$19:$C$103,3)</f>
        <v>0.82356724120570934</v>
      </c>
      <c r="C44" s="45">
        <f t="shared" ref="C44:F44" si="42">B44</f>
        <v>0.82356724120570934</v>
      </c>
      <c r="D44" s="45">
        <f t="shared" si="42"/>
        <v>0.82356724120570934</v>
      </c>
      <c r="E44" s="45">
        <f t="shared" si="42"/>
        <v>0.82356724120570934</v>
      </c>
      <c r="F44" s="45">
        <f t="shared" si="42"/>
        <v>0.82356724120570934</v>
      </c>
      <c r="G44" s="45">
        <f t="shared" si="2"/>
        <v>0.82356724120570934</v>
      </c>
      <c r="H44" s="51">
        <f t="shared" si="3"/>
        <v>0.82356724120570934</v>
      </c>
      <c r="J44" s="6">
        <f t="shared" si="4"/>
        <v>0.82356724120570934</v>
      </c>
      <c r="K44" s="6">
        <f>VLOOKUP($A44,'Sectors (1)'!$AA$19:$AB$103,2)</f>
        <v>0.78030119776942708</v>
      </c>
      <c r="L44" s="6">
        <f>VLOOKUP($A44,'Sectors (2)'!$AA$19:$AB$103,2)</f>
        <v>0.81935606184454013</v>
      </c>
      <c r="M44" s="6">
        <f>VLOOKUP($A44,'Sectors (3)'!$AA$19:$AB$103,2)</f>
        <v>0.81786714455034959</v>
      </c>
      <c r="N44" s="6">
        <f>VLOOKUP($A44,'Sectors (4)'!$AA$19:$AB$103,2)</f>
        <v>0.78092315316611449</v>
      </c>
      <c r="O44" s="6">
        <f t="shared" si="5"/>
        <v>0.8067045686048645</v>
      </c>
      <c r="P44" s="49">
        <f t="shared" si="6"/>
        <v>0.8067045686048645</v>
      </c>
    </row>
    <row r="45" spans="1:16" x14ac:dyDescent="0.25">
      <c r="A45">
        <v>46</v>
      </c>
      <c r="B45" s="45">
        <f>VLOOKUP($A45,'hours (1)'!$A$19:$C$103,3)</f>
        <v>0.82507720130687789</v>
      </c>
      <c r="C45" s="45">
        <f t="shared" ref="C45:F45" si="43">B45</f>
        <v>0.82507720130687789</v>
      </c>
      <c r="D45" s="45">
        <f t="shared" si="43"/>
        <v>0.82507720130687789</v>
      </c>
      <c r="E45" s="45">
        <f t="shared" si="43"/>
        <v>0.82507720130687789</v>
      </c>
      <c r="F45" s="45">
        <f t="shared" si="43"/>
        <v>0.82507720130687789</v>
      </c>
      <c r="G45" s="45">
        <f t="shared" si="2"/>
        <v>0.82507720130687801</v>
      </c>
      <c r="H45" s="51">
        <f t="shared" si="3"/>
        <v>0.82507720130687801</v>
      </c>
      <c r="J45" s="6">
        <f t="shared" si="4"/>
        <v>0.82507720130687789</v>
      </c>
      <c r="K45" s="6">
        <f>VLOOKUP($A45,'Sectors (1)'!$AA$19:$AB$103,2)</f>
        <v>0.82454727482424495</v>
      </c>
      <c r="L45" s="6">
        <f>VLOOKUP($A45,'Sectors (2)'!$AA$19:$AB$103,2)</f>
        <v>0.82089445210297596</v>
      </c>
      <c r="M45" s="6">
        <f>VLOOKUP($A45,'Sectors (3)'!$AA$19:$AB$103,2)</f>
        <v>0.81939920550988787</v>
      </c>
      <c r="N45" s="6">
        <f>VLOOKUP($A45,'Sectors (4)'!$AA$19:$AB$103,2)</f>
        <v>0.82476878579445512</v>
      </c>
      <c r="O45" s="6">
        <f t="shared" si="5"/>
        <v>0.82463771318915957</v>
      </c>
      <c r="P45" s="49">
        <f t="shared" si="6"/>
        <v>0.82463771318915957</v>
      </c>
    </row>
    <row r="46" spans="1:16" x14ac:dyDescent="0.25">
      <c r="A46">
        <v>47</v>
      </c>
      <c r="B46" s="45">
        <f>VLOOKUP($A46,'hours (1)'!$A$19:$C$103,3)</f>
        <v>0.82620407501830406</v>
      </c>
      <c r="C46" s="45">
        <f t="shared" ref="C46:F46" si="44">B46</f>
        <v>0.82620407501830406</v>
      </c>
      <c r="D46" s="45">
        <f t="shared" si="44"/>
        <v>0.82620407501830406</v>
      </c>
      <c r="E46" s="45">
        <f t="shared" si="44"/>
        <v>0.82620407501830406</v>
      </c>
      <c r="F46" s="45">
        <f t="shared" si="44"/>
        <v>0.82620407501830406</v>
      </c>
      <c r="G46" s="45">
        <f t="shared" si="2"/>
        <v>0.82620407501830406</v>
      </c>
      <c r="H46" s="51">
        <f t="shared" si="3"/>
        <v>0.82620407501830406</v>
      </c>
      <c r="J46" s="6">
        <f t="shared" si="4"/>
        <v>0.82620407501830406</v>
      </c>
      <c r="K46" s="6">
        <f>VLOOKUP($A46,'Sectors (1)'!$AA$19:$AB$103,2)</f>
        <v>0.82603120837903266</v>
      </c>
      <c r="L46" s="6">
        <f>VLOOKUP($A46,'Sectors (2)'!$AA$19:$AB$103,2)</f>
        <v>0.8220433510047892</v>
      </c>
      <c r="M46" s="6">
        <f>VLOOKUP($A46,'Sectors (3)'!$AA$19:$AB$103,2)</f>
        <v>0.82054536283793744</v>
      </c>
      <c r="N46" s="6">
        <f>VLOOKUP($A46,'Sectors (4)'!$AA$19:$AB$103,2)</f>
        <v>0.82624076874014407</v>
      </c>
      <c r="O46" s="6">
        <f t="shared" si="5"/>
        <v>0.82590146524110752</v>
      </c>
      <c r="P46" s="49">
        <f t="shared" si="6"/>
        <v>0.82590146524110752</v>
      </c>
    </row>
    <row r="47" spans="1:16" x14ac:dyDescent="0.25">
      <c r="A47">
        <v>48</v>
      </c>
      <c r="B47" s="45">
        <f>VLOOKUP($A47,'hours (1)'!$A$19:$C$103,3)</f>
        <v>0.83433872323219593</v>
      </c>
      <c r="C47" s="45">
        <f t="shared" ref="C47:F47" si="45">B47</f>
        <v>0.83433872323219593</v>
      </c>
      <c r="D47" s="45">
        <f t="shared" si="45"/>
        <v>0.83433872323219593</v>
      </c>
      <c r="E47" s="45">
        <f t="shared" si="45"/>
        <v>0.83433872323219593</v>
      </c>
      <c r="F47" s="45">
        <f t="shared" si="45"/>
        <v>0.83433872323219593</v>
      </c>
      <c r="G47" s="45">
        <f t="shared" si="2"/>
        <v>0.83433872323219593</v>
      </c>
      <c r="H47" s="51">
        <f t="shared" si="3"/>
        <v>0.83433872323219593</v>
      </c>
      <c r="J47" s="6">
        <f t="shared" si="4"/>
        <v>0.83433872323219593</v>
      </c>
      <c r="K47" s="6">
        <f>VLOOKUP($A47,'Sectors (1)'!$AA$19:$AB$103,2)</f>
        <v>0.82714047925446832</v>
      </c>
      <c r="L47" s="6">
        <f>VLOOKUP($A47,'Sectors (2)'!$AA$19:$AB$103,2)</f>
        <v>0.83034251692955385</v>
      </c>
      <c r="M47" s="6">
        <f>VLOOKUP($A47,'Sectors (3)'!$AA$19:$AB$103,2)</f>
        <v>0.82883834528710931</v>
      </c>
      <c r="N47" s="6">
        <f>VLOOKUP($A47,'Sectors (4)'!$AA$19:$AB$103,2)</f>
        <v>0.8273421554885485</v>
      </c>
      <c r="O47" s="6">
        <f t="shared" si="5"/>
        <v>0.83133306134305407</v>
      </c>
      <c r="P47" s="49">
        <f t="shared" si="6"/>
        <v>0.83133306134305407</v>
      </c>
    </row>
    <row r="48" spans="1:16" x14ac:dyDescent="0.25">
      <c r="A48">
        <v>49</v>
      </c>
      <c r="B48" s="45">
        <f>VLOOKUP($A48,'hours (1)'!$A$19:$C$103,3)</f>
        <v>0.8349101573589669</v>
      </c>
      <c r="C48" s="45">
        <f t="shared" ref="C48:F48" si="46">B48</f>
        <v>0.8349101573589669</v>
      </c>
      <c r="D48" s="45">
        <f t="shared" si="46"/>
        <v>0.8349101573589669</v>
      </c>
      <c r="E48" s="45">
        <f t="shared" si="46"/>
        <v>0.8349101573589669</v>
      </c>
      <c r="F48" s="45">
        <f t="shared" si="46"/>
        <v>0.8349101573589669</v>
      </c>
      <c r="G48" s="45">
        <f t="shared" si="2"/>
        <v>0.8349101573589669</v>
      </c>
      <c r="H48" s="51">
        <f t="shared" si="3"/>
        <v>0.8349101573589669</v>
      </c>
      <c r="J48" s="6">
        <f t="shared" si="4"/>
        <v>0.8349101573589669</v>
      </c>
      <c r="K48" s="6">
        <f>VLOOKUP($A48,'Sectors (1)'!$AA$19:$AB$103,2)</f>
        <v>0.83516057365212737</v>
      </c>
      <c r="L48" s="6">
        <f>VLOOKUP($A48,'Sectors (2)'!$AA$19:$AB$103,2)</f>
        <v>0.83092587580813382</v>
      </c>
      <c r="M48" s="6">
        <f>VLOOKUP($A48,'Sectors (3)'!$AA$19:$AB$103,2)</f>
        <v>0.82942218004182888</v>
      </c>
      <c r="N48" s="6">
        <f>VLOOKUP($A48,'Sectors (4)'!$AA$19:$AB$103,2)</f>
        <v>0.83531245334074444</v>
      </c>
      <c r="O48" s="6">
        <f t="shared" si="5"/>
        <v>0.83477059338139326</v>
      </c>
      <c r="P48" s="49">
        <f t="shared" si="6"/>
        <v>0.83477059338139326</v>
      </c>
    </row>
    <row r="49" spans="1:16" x14ac:dyDescent="0.25">
      <c r="A49">
        <v>50</v>
      </c>
      <c r="B49" s="45">
        <f>VLOOKUP($A49,'hours (1)'!$A$19:$C$103,3)</f>
        <v>0.9090609309609744</v>
      </c>
      <c r="C49" s="45">
        <f t="shared" ref="C49:F49" si="47">B49</f>
        <v>0.9090609309609744</v>
      </c>
      <c r="D49" s="45">
        <f t="shared" si="47"/>
        <v>0.9090609309609744</v>
      </c>
      <c r="E49" s="45">
        <f t="shared" si="47"/>
        <v>0.9090609309609744</v>
      </c>
      <c r="F49" s="45">
        <f t="shared" si="47"/>
        <v>0.9090609309609744</v>
      </c>
      <c r="G49" s="45">
        <f t="shared" si="2"/>
        <v>0.9090609309609744</v>
      </c>
      <c r="H49" s="51">
        <f t="shared" si="3"/>
        <v>0.9090609309609744</v>
      </c>
      <c r="J49" s="6">
        <f t="shared" si="4"/>
        <v>0.9090609309609744</v>
      </c>
      <c r="K49" s="6">
        <f>VLOOKUP($A49,'Sectors (1)'!$AA$19:$AB$103,2)</f>
        <v>0.83572479916231224</v>
      </c>
      <c r="L49" s="6">
        <f>VLOOKUP($A49,'Sectors (2)'!$AA$19:$AB$103,2)</f>
        <v>0.9066693644887247</v>
      </c>
      <c r="M49" s="6">
        <f>VLOOKUP($A49,'Sectors (3)'!$AA$19:$AB$103,2)</f>
        <v>0.90534003070943159</v>
      </c>
      <c r="N49" s="6">
        <f>VLOOKUP($A49,'Sectors (4)'!$AA$19:$AB$103,2)</f>
        <v>0.83587365782201017</v>
      </c>
      <c r="O49" s="6">
        <f t="shared" si="5"/>
        <v>0.8806228308900842</v>
      </c>
      <c r="P49" s="49">
        <f t="shared" si="6"/>
        <v>0.8806228308900842</v>
      </c>
    </row>
    <row r="50" spans="1:16" x14ac:dyDescent="0.25">
      <c r="A50">
        <v>51</v>
      </c>
      <c r="B50" s="45">
        <f>VLOOKUP($A50,'hours (1)'!$A$19:$C$103,3)</f>
        <v>0.90920318452146698</v>
      </c>
      <c r="C50" s="45">
        <f t="shared" ref="C50:F50" si="48">B50</f>
        <v>0.90920318452146698</v>
      </c>
      <c r="D50" s="45">
        <f t="shared" si="48"/>
        <v>0.90920318452146698</v>
      </c>
      <c r="E50" s="45">
        <f t="shared" si="48"/>
        <v>0.90920318452146698</v>
      </c>
      <c r="F50" s="45">
        <f t="shared" si="48"/>
        <v>0.90920318452146698</v>
      </c>
      <c r="G50" s="45">
        <f t="shared" si="2"/>
        <v>0.90920318452146698</v>
      </c>
      <c r="H50" s="51">
        <f t="shared" si="3"/>
        <v>0.90920318452146698</v>
      </c>
      <c r="J50" s="6">
        <f t="shared" si="4"/>
        <v>0.90920318452146698</v>
      </c>
      <c r="K50" s="6">
        <f>VLOOKUP($A50,'Sectors (1)'!$AA$19:$AB$103,2)</f>
        <v>0.90904402492321612</v>
      </c>
      <c r="L50" s="6">
        <f>VLOOKUP($A50,'Sectors (2)'!$AA$19:$AB$103,2)</f>
        <v>0.90681475624768504</v>
      </c>
      <c r="M50" s="6">
        <f>VLOOKUP($A50,'Sectors (3)'!$AA$19:$AB$103,2)</f>
        <v>0.90548596317176266</v>
      </c>
      <c r="N50" s="6">
        <f>VLOOKUP($A50,'Sectors (4)'!$AA$19:$AB$103,2)</f>
        <v>0.90885999310800292</v>
      </c>
      <c r="O50" s="6">
        <f t="shared" si="5"/>
        <v>0.90894114750541632</v>
      </c>
      <c r="P50" s="49">
        <f t="shared" si="6"/>
        <v>0.90894114750541632</v>
      </c>
    </row>
    <row r="51" spans="1:16" x14ac:dyDescent="0.25">
      <c r="A51">
        <v>52</v>
      </c>
      <c r="B51" s="45">
        <f>VLOOKUP($A51,'hours (1)'!$A$19:$C$103,3)</f>
        <v>0.91872370335231957</v>
      </c>
      <c r="C51" s="45">
        <f t="shared" ref="C51:F51" si="49">B51</f>
        <v>0.91872370335231957</v>
      </c>
      <c r="D51" s="45">
        <f t="shared" si="49"/>
        <v>0.91872370335231957</v>
      </c>
      <c r="E51" s="45">
        <f t="shared" si="49"/>
        <v>0.91872370335231957</v>
      </c>
      <c r="F51" s="45">
        <f t="shared" si="49"/>
        <v>0.91872370335231957</v>
      </c>
      <c r="G51" s="45">
        <f t="shared" si="2"/>
        <v>0.91872370335231945</v>
      </c>
      <c r="H51" s="51">
        <f t="shared" si="3"/>
        <v>0.91872370335231945</v>
      </c>
      <c r="J51" s="6">
        <f t="shared" si="4"/>
        <v>0.91872370335231957</v>
      </c>
      <c r="K51" s="6">
        <f>VLOOKUP($A51,'Sectors (1)'!$AA$19:$AB$103,2)</f>
        <v>0.9091848736263074</v>
      </c>
      <c r="L51" s="6">
        <f>VLOOKUP($A51,'Sectors (2)'!$AA$19:$AB$103,2)</f>
        <v>0.91655057036861132</v>
      </c>
      <c r="M51" s="6">
        <f>VLOOKUP($A51,'Sectors (3)'!$AA$19:$AB$103,2)</f>
        <v>0.91527115074441978</v>
      </c>
      <c r="N51" s="6">
        <f>VLOOKUP($A51,'Sectors (4)'!$AA$19:$AB$103,2)</f>
        <v>0.90900031164272632</v>
      </c>
      <c r="O51" s="6">
        <f t="shared" si="5"/>
        <v>0.91485617256254814</v>
      </c>
      <c r="P51" s="49">
        <f t="shared" si="6"/>
        <v>0.91485617256254814</v>
      </c>
    </row>
    <row r="52" spans="1:16" x14ac:dyDescent="0.25">
      <c r="A52">
        <v>53</v>
      </c>
      <c r="B52" s="45">
        <f>VLOOKUP($A52,'hours (1)'!$A$19:$C$103,3)</f>
        <v>0.91927875735295206</v>
      </c>
      <c r="C52" s="45">
        <f t="shared" ref="C52:F52" si="50">B52</f>
        <v>0.91927875735295206</v>
      </c>
      <c r="D52" s="45">
        <f t="shared" si="50"/>
        <v>0.91927875735295206</v>
      </c>
      <c r="E52" s="45">
        <f t="shared" si="50"/>
        <v>0.91927875735295206</v>
      </c>
      <c r="F52" s="45">
        <f t="shared" si="50"/>
        <v>0.91927875735295206</v>
      </c>
      <c r="G52" s="45">
        <f t="shared" si="2"/>
        <v>0.91927875735295206</v>
      </c>
      <c r="H52" s="51">
        <f t="shared" si="3"/>
        <v>0.91927875735295206</v>
      </c>
      <c r="J52" s="6">
        <f t="shared" si="4"/>
        <v>0.91927875735295206</v>
      </c>
      <c r="K52" s="6">
        <f>VLOOKUP($A52,'Sectors (1)'!$AA$19:$AB$103,2)</f>
        <v>0.91862356155169578</v>
      </c>
      <c r="L52" s="6">
        <f>VLOOKUP($A52,'Sectors (2)'!$AA$19:$AB$103,2)</f>
        <v>0.91711846889249382</v>
      </c>
      <c r="M52" s="6">
        <f>VLOOKUP($A52,'Sectors (3)'!$AA$19:$AB$103,2)</f>
        <v>0.91584266308358009</v>
      </c>
      <c r="N52" s="6">
        <f>VLOOKUP($A52,'Sectors (4)'!$AA$19:$AB$103,2)</f>
        <v>0.91841046524194703</v>
      </c>
      <c r="O52" s="6">
        <f t="shared" si="5"/>
        <v>0.91883446367424271</v>
      </c>
      <c r="P52" s="49">
        <f t="shared" si="6"/>
        <v>0.91883446367424271</v>
      </c>
    </row>
    <row r="53" spans="1:16" x14ac:dyDescent="0.25">
      <c r="A53">
        <v>54</v>
      </c>
      <c r="B53" s="45">
        <f>VLOOKUP($A53,'hours (1)'!$A$19:$C$103,3)</f>
        <v>0.91996311194859459</v>
      </c>
      <c r="C53" s="45">
        <f t="shared" ref="C53:F53" si="51">B53</f>
        <v>0.91996311194859459</v>
      </c>
      <c r="D53" s="45">
        <f t="shared" si="51"/>
        <v>0.91996311194859459</v>
      </c>
      <c r="E53" s="45">
        <f t="shared" si="51"/>
        <v>0.91996311194859459</v>
      </c>
      <c r="F53" s="45">
        <f t="shared" si="51"/>
        <v>0.91996311194859459</v>
      </c>
      <c r="G53" s="45">
        <f t="shared" si="2"/>
        <v>0.91996311194859459</v>
      </c>
      <c r="H53" s="51">
        <f t="shared" si="3"/>
        <v>0.91996311194859459</v>
      </c>
      <c r="J53" s="6">
        <f t="shared" si="4"/>
        <v>0.91996311194859459</v>
      </c>
      <c r="K53" s="6">
        <f>VLOOKUP($A53,'Sectors (1)'!$AA$19:$AB$103,2)</f>
        <v>0.9191745253455389</v>
      </c>
      <c r="L53" s="6">
        <f>VLOOKUP($A53,'Sectors (2)'!$AA$19:$AB$103,2)</f>
        <v>0.91781900438060515</v>
      </c>
      <c r="M53" s="6">
        <f>VLOOKUP($A53,'Sectors (3)'!$AA$19:$AB$103,2)</f>
        <v>0.91654852221599892</v>
      </c>
      <c r="N53" s="6">
        <f>VLOOKUP($A53,'Sectors (4)'!$AA$19:$AB$103,2)</f>
        <v>0.91896015355261462</v>
      </c>
      <c r="O53" s="6">
        <f t="shared" si="5"/>
        <v>0.91946818640333294</v>
      </c>
      <c r="P53" s="49">
        <f t="shared" si="6"/>
        <v>0.91946818640333294</v>
      </c>
    </row>
    <row r="54" spans="1:16" x14ac:dyDescent="0.25">
      <c r="A54">
        <v>55</v>
      </c>
      <c r="B54" s="45">
        <f>VLOOKUP($A54,'hours (1)'!$A$19:$C$103,3)</f>
        <v>0.93832671988932903</v>
      </c>
      <c r="C54" s="45">
        <f t="shared" ref="C54:F54" si="52">B54</f>
        <v>0.93832671988932903</v>
      </c>
      <c r="D54" s="45">
        <f t="shared" si="52"/>
        <v>0.93832671988932903</v>
      </c>
      <c r="E54" s="45">
        <f t="shared" si="52"/>
        <v>0.93832671988932903</v>
      </c>
      <c r="F54" s="45">
        <f t="shared" si="52"/>
        <v>0.93832671988932903</v>
      </c>
      <c r="G54" s="45">
        <f t="shared" si="2"/>
        <v>0.93832671988932903</v>
      </c>
      <c r="H54" s="51">
        <f t="shared" si="3"/>
        <v>0.93832671988932903</v>
      </c>
      <c r="J54" s="6">
        <f t="shared" si="4"/>
        <v>0.93832671988932903</v>
      </c>
      <c r="K54" s="6">
        <f>VLOOKUP($A54,'Sectors (1)'!$AA$19:$AB$103,2)</f>
        <v>0.91985464122015137</v>
      </c>
      <c r="L54" s="6">
        <f>VLOOKUP($A54,'Sectors (2)'!$AA$19:$AB$103,2)</f>
        <v>0.9366256232166944</v>
      </c>
      <c r="M54" s="6">
        <f>VLOOKUP($A54,'Sectors (3)'!$AA$19:$AB$103,2)</f>
        <v>0.9355203130535128</v>
      </c>
      <c r="N54" s="6">
        <f>VLOOKUP($A54,'Sectors (4)'!$AA$19:$AB$103,2)</f>
        <v>0.91963915568204457</v>
      </c>
      <c r="O54" s="6">
        <f t="shared" si="5"/>
        <v>0.93103878893624969</v>
      </c>
      <c r="P54" s="49">
        <f t="shared" si="6"/>
        <v>0.93103878893624969</v>
      </c>
    </row>
    <row r="55" spans="1:16" x14ac:dyDescent="0.25">
      <c r="A55">
        <v>56</v>
      </c>
      <c r="B55" s="45">
        <f>VLOOKUP($A55,'hours (1)'!$A$19:$C$103,3)</f>
        <v>0.94015490941498481</v>
      </c>
      <c r="C55" s="45">
        <f t="shared" ref="C55:F55" si="53">B55</f>
        <v>0.94015490941498481</v>
      </c>
      <c r="D55" s="45">
        <f t="shared" si="53"/>
        <v>0.94015490941498481</v>
      </c>
      <c r="E55" s="45">
        <f t="shared" si="53"/>
        <v>0.94015490941498481</v>
      </c>
      <c r="F55" s="45">
        <f t="shared" si="53"/>
        <v>0.94015490941498481</v>
      </c>
      <c r="G55" s="45">
        <f t="shared" si="2"/>
        <v>0.94015490941498481</v>
      </c>
      <c r="H55" s="51">
        <f t="shared" si="3"/>
        <v>0.94015490941498481</v>
      </c>
      <c r="J55" s="6">
        <f t="shared" si="4"/>
        <v>0.94015490941498481</v>
      </c>
      <c r="K55" s="6">
        <f>VLOOKUP($A55,'Sectors (1)'!$AA$19:$AB$103,2)</f>
        <v>0.93812521431631846</v>
      </c>
      <c r="L55" s="6">
        <f>VLOOKUP($A55,'Sectors (2)'!$AA$19:$AB$103,2)</f>
        <v>0.93849875629185397</v>
      </c>
      <c r="M55" s="6">
        <f>VLOOKUP($A55,'Sectors (3)'!$AA$19:$AB$103,2)</f>
        <v>0.93741202119941425</v>
      </c>
      <c r="N55" s="6">
        <f>VLOOKUP($A55,'Sectors (4)'!$AA$19:$AB$103,2)</f>
        <v>0.93789166121793821</v>
      </c>
      <c r="O55" s="6">
        <f t="shared" si="5"/>
        <v>0.9392100195289399</v>
      </c>
      <c r="P55" s="49">
        <f t="shared" si="6"/>
        <v>0.9392100195289399</v>
      </c>
    </row>
    <row r="56" spans="1:16" x14ac:dyDescent="0.25">
      <c r="A56">
        <v>57</v>
      </c>
      <c r="B56" s="45">
        <f>VLOOKUP($A56,'hours (1)'!$A$19:$C$103,3)</f>
        <v>0.94037653902928686</v>
      </c>
      <c r="C56" s="45">
        <f t="shared" ref="C56:F56" si="54">B56</f>
        <v>0.94037653902928686</v>
      </c>
      <c r="D56" s="45">
        <f t="shared" si="54"/>
        <v>0.94037653902928686</v>
      </c>
      <c r="E56" s="45">
        <f t="shared" si="54"/>
        <v>0.94037653902928686</v>
      </c>
      <c r="F56" s="45">
        <f t="shared" si="54"/>
        <v>0.94037653902928686</v>
      </c>
      <c r="G56" s="45">
        <f t="shared" si="2"/>
        <v>0.94037653902928686</v>
      </c>
      <c r="H56" s="51">
        <f t="shared" si="3"/>
        <v>0.94037653902928686</v>
      </c>
      <c r="J56" s="6">
        <f t="shared" si="4"/>
        <v>0.94037653902928686</v>
      </c>
      <c r="K56" s="6">
        <f>VLOOKUP($A56,'Sectors (1)'!$AA$19:$AB$103,2)</f>
        <v>0.93994612090803353</v>
      </c>
      <c r="L56" s="6">
        <f>VLOOKUP($A56,'Sectors (2)'!$AA$19:$AB$103,2)</f>
        <v>0.93872593176775687</v>
      </c>
      <c r="M56" s="6">
        <f>VLOOKUP($A56,'Sectors (3)'!$AA$19:$AB$103,2)</f>
        <v>0.93764169656133145</v>
      </c>
      <c r="N56" s="6">
        <f>VLOOKUP($A56,'Sectors (4)'!$AA$19:$AB$103,2)</f>
        <v>0.9397118993161474</v>
      </c>
      <c r="O56" s="6">
        <f t="shared" si="5"/>
        <v>0.94004886870765703</v>
      </c>
      <c r="P56" s="49">
        <f t="shared" si="6"/>
        <v>0.94004886870765703</v>
      </c>
    </row>
    <row r="57" spans="1:16" x14ac:dyDescent="0.25">
      <c r="A57">
        <v>58</v>
      </c>
      <c r="B57" s="45">
        <f>VLOOKUP($A57,'hours (1)'!$A$19:$C$103,3)</f>
        <v>0.94102227494762147</v>
      </c>
      <c r="C57" s="45">
        <f t="shared" ref="C57:F57" si="55">B57</f>
        <v>0.94102227494762147</v>
      </c>
      <c r="D57" s="45">
        <f t="shared" si="55"/>
        <v>0.94102227494762147</v>
      </c>
      <c r="E57" s="45">
        <f t="shared" si="55"/>
        <v>0.94102227494762147</v>
      </c>
      <c r="F57" s="45">
        <f t="shared" si="55"/>
        <v>0.94102227494762147</v>
      </c>
      <c r="G57" s="45">
        <f t="shared" si="2"/>
        <v>0.94102227494762158</v>
      </c>
      <c r="H57" s="51">
        <f t="shared" si="3"/>
        <v>0.94102227494762158</v>
      </c>
      <c r="J57" s="6">
        <f t="shared" si="4"/>
        <v>0.94102227494762147</v>
      </c>
      <c r="K57" s="6">
        <f>VLOOKUP($A57,'Sectors (1)'!$AA$19:$AB$103,2)</f>
        <v>0.94016709818296318</v>
      </c>
      <c r="L57" s="6">
        <f>VLOOKUP($A57,'Sectors (2)'!$AA$19:$AB$103,2)</f>
        <v>0.93938809781802746</v>
      </c>
      <c r="M57" s="6">
        <f>VLOOKUP($A57,'Sectors (3)'!$AA$19:$AB$103,2)</f>
        <v>0.93831184060799722</v>
      </c>
      <c r="N57" s="6">
        <f>VLOOKUP($A57,'Sectors (4)'!$AA$19:$AB$103,2)</f>
        <v>0.93993292727774602</v>
      </c>
      <c r="O57" s="6">
        <f t="shared" si="5"/>
        <v>0.94053189080317035</v>
      </c>
      <c r="P57" s="49">
        <f t="shared" si="6"/>
        <v>0.94053189080317035</v>
      </c>
    </row>
    <row r="58" spans="1:16" x14ac:dyDescent="0.25">
      <c r="A58">
        <v>59</v>
      </c>
      <c r="B58" s="45">
        <f>VLOOKUP($A58,'hours (1)'!$A$19:$C$103,3)</f>
        <v>0.94117328916505705</v>
      </c>
      <c r="C58" s="45">
        <f t="shared" ref="C58:F58" si="56">B58</f>
        <v>0.94117328916505705</v>
      </c>
      <c r="D58" s="45">
        <f t="shared" si="56"/>
        <v>0.94117328916505705</v>
      </c>
      <c r="E58" s="45">
        <f t="shared" si="56"/>
        <v>0.94117328916505705</v>
      </c>
      <c r="F58" s="45">
        <f t="shared" si="56"/>
        <v>0.94117328916505705</v>
      </c>
      <c r="G58" s="45">
        <f t="shared" si="2"/>
        <v>0.94117328916505705</v>
      </c>
      <c r="H58" s="51">
        <f t="shared" si="3"/>
        <v>0.94117328916505705</v>
      </c>
      <c r="J58" s="6">
        <f t="shared" si="4"/>
        <v>0.94117328916505705</v>
      </c>
      <c r="K58" s="6">
        <f>VLOOKUP($A58,'Sectors (1)'!$AA$19:$AB$103,2)</f>
        <v>0.94081157950805461</v>
      </c>
      <c r="L58" s="6">
        <f>VLOOKUP($A58,'Sectors (2)'!$AA$19:$AB$103,2)</f>
        <v>0.93954301538800655</v>
      </c>
      <c r="M58" s="6">
        <f>VLOOKUP($A58,'Sectors (3)'!$AA$19:$AB$103,2)</f>
        <v>0.93846878008834311</v>
      </c>
      <c r="N58" s="6">
        <f>VLOOKUP($A58,'Sectors (4)'!$AA$19:$AB$103,2)</f>
        <v>0.94057792555506425</v>
      </c>
      <c r="O58" s="6">
        <f t="shared" si="5"/>
        <v>0.94087362630381344</v>
      </c>
      <c r="P58" s="49">
        <f t="shared" si="6"/>
        <v>0.94087362630381344</v>
      </c>
    </row>
    <row r="59" spans="1:16" x14ac:dyDescent="0.25">
      <c r="A59">
        <v>60</v>
      </c>
      <c r="B59" s="45">
        <f>VLOOKUP($A59,'hours (1)'!$A$19:$C$103,3)</f>
        <v>0.97753061015282405</v>
      </c>
      <c r="C59" s="45">
        <f t="shared" ref="C59:F59" si="57">B59</f>
        <v>0.97753061015282405</v>
      </c>
      <c r="D59" s="45">
        <f t="shared" si="57"/>
        <v>0.97753061015282405</v>
      </c>
      <c r="E59" s="45">
        <f t="shared" si="57"/>
        <v>0.97753061015282405</v>
      </c>
      <c r="F59" s="45">
        <f t="shared" si="57"/>
        <v>0.97753061015282405</v>
      </c>
      <c r="G59" s="45">
        <f t="shared" si="2"/>
        <v>0.97753061015282405</v>
      </c>
      <c r="H59" s="51">
        <f t="shared" si="3"/>
        <v>0.97753061015282405</v>
      </c>
      <c r="J59" s="6">
        <f t="shared" si="4"/>
        <v>0.97753061015282405</v>
      </c>
      <c r="K59" s="6">
        <f>VLOOKUP($A59,'Sectors (1)'!$AA$19:$AB$103,2)</f>
        <v>0.94096244573642895</v>
      </c>
      <c r="L59" s="6">
        <f>VLOOKUP($A59,'Sectors (2)'!$AA$19:$AB$103,2)</f>
        <v>0.97685416266895986</v>
      </c>
      <c r="M59" s="6">
        <f>VLOOKUP($A59,'Sectors (3)'!$AA$19:$AB$103,2)</f>
        <v>0.97630288618951977</v>
      </c>
      <c r="N59" s="6">
        <f>VLOOKUP($A59,'Sectors (4)'!$AA$19:$AB$103,2)</f>
        <v>0.94072899583278313</v>
      </c>
      <c r="O59" s="6">
        <f t="shared" si="5"/>
        <v>0.96333173823114637</v>
      </c>
      <c r="P59" s="49">
        <f t="shared" si="6"/>
        <v>0.96333173823114637</v>
      </c>
    </row>
    <row r="60" spans="1:16" x14ac:dyDescent="0.25">
      <c r="A60">
        <v>61</v>
      </c>
      <c r="B60" s="45">
        <f>VLOOKUP($A60,'hours (1)'!$A$19:$C$103,3)</f>
        <v>0.97759428217403377</v>
      </c>
      <c r="C60" s="45">
        <f t="shared" ref="C60:F60" si="58">B60</f>
        <v>0.97759428217403377</v>
      </c>
      <c r="D60" s="45">
        <f t="shared" si="58"/>
        <v>0.97759428217403377</v>
      </c>
      <c r="E60" s="45">
        <f t="shared" si="58"/>
        <v>0.97759428217403377</v>
      </c>
      <c r="F60" s="45">
        <f t="shared" si="58"/>
        <v>0.97759428217403377</v>
      </c>
      <c r="G60" s="45">
        <f t="shared" si="2"/>
        <v>0.97759428217403377</v>
      </c>
      <c r="H60" s="51">
        <f t="shared" si="3"/>
        <v>0.97759428217403377</v>
      </c>
      <c r="J60" s="6">
        <f t="shared" si="4"/>
        <v>0.97759428217403377</v>
      </c>
      <c r="K60" s="6">
        <f>VLOOKUP($A60,'Sectors (1)'!$AA$19:$AB$103,2)</f>
        <v>0.9773178570957709</v>
      </c>
      <c r="L60" s="6">
        <f>VLOOKUP($A60,'Sectors (2)'!$AA$19:$AB$103,2)</f>
        <v>0.97691952878601374</v>
      </c>
      <c r="M60" s="6">
        <f>VLOOKUP($A60,'Sectors (3)'!$AA$19:$AB$103,2)</f>
        <v>0.97636922916504942</v>
      </c>
      <c r="N60" s="6">
        <f>VLOOKUP($A60,'Sectors (4)'!$AA$19:$AB$103,2)</f>
        <v>0.97715282291846706</v>
      </c>
      <c r="O60" s="6">
        <f t="shared" si="5"/>
        <v>0.97740671653270583</v>
      </c>
      <c r="P60" s="49">
        <f t="shared" si="6"/>
        <v>0.97740671653270583</v>
      </c>
    </row>
    <row r="61" spans="1:16" x14ac:dyDescent="0.25">
      <c r="A61">
        <v>62</v>
      </c>
      <c r="B61" s="45">
        <f>VLOOKUP($A61,'hours (1)'!$A$19:$C$103,3)</f>
        <v>0.97773397856066957</v>
      </c>
      <c r="C61" s="45">
        <f t="shared" ref="C61:F61" si="59">B61</f>
        <v>0.97773397856066957</v>
      </c>
      <c r="D61" s="45">
        <f t="shared" si="59"/>
        <v>0.97773397856066957</v>
      </c>
      <c r="E61" s="45">
        <f t="shared" si="59"/>
        <v>0.97773397856066957</v>
      </c>
      <c r="F61" s="45">
        <f t="shared" si="59"/>
        <v>0.97773397856066957</v>
      </c>
      <c r="G61" s="45">
        <f t="shared" si="2"/>
        <v>0.97773397856066957</v>
      </c>
      <c r="H61" s="51">
        <f t="shared" si="3"/>
        <v>0.97773397856066957</v>
      </c>
      <c r="J61" s="6">
        <f t="shared" si="4"/>
        <v>0.97773397856066957</v>
      </c>
      <c r="K61" s="6">
        <f>VLOOKUP($A61,'Sectors (1)'!$AA$19:$AB$103,2)</f>
        <v>0.97738158268923458</v>
      </c>
      <c r="L61" s="6">
        <f>VLOOKUP($A61,'Sectors (2)'!$AA$19:$AB$103,2)</f>
        <v>0.97706299193628632</v>
      </c>
      <c r="M61" s="6">
        <f>VLOOKUP($A61,'Sectors (3)'!$AA$19:$AB$103,2)</f>
        <v>0.97651496453296138</v>
      </c>
      <c r="N61" s="6">
        <f>VLOOKUP($A61,'Sectors (4)'!$AA$19:$AB$103,2)</f>
        <v>0.97721670090113522</v>
      </c>
      <c r="O61" s="6">
        <f t="shared" si="5"/>
        <v>0.97751740624689976</v>
      </c>
      <c r="P61" s="49">
        <f t="shared" si="6"/>
        <v>0.97751740624689976</v>
      </c>
    </row>
    <row r="62" spans="1:16" x14ac:dyDescent="0.25">
      <c r="A62">
        <v>63</v>
      </c>
      <c r="B62" s="45">
        <f>VLOOKUP($A62,'hours (1)'!$A$19:$C$103,3)</f>
        <v>0.97786881285905536</v>
      </c>
      <c r="C62" s="45">
        <f t="shared" ref="C62:F62" si="60">B62</f>
        <v>0.97786881285905536</v>
      </c>
      <c r="D62" s="45">
        <f t="shared" si="60"/>
        <v>0.97786881285905536</v>
      </c>
      <c r="E62" s="45">
        <f t="shared" si="60"/>
        <v>0.97786881285905536</v>
      </c>
      <c r="F62" s="45">
        <f t="shared" si="60"/>
        <v>0.97786881285905536</v>
      </c>
      <c r="G62" s="45">
        <f t="shared" si="2"/>
        <v>0.97786881285905536</v>
      </c>
      <c r="H62" s="51">
        <f t="shared" si="3"/>
        <v>0.97786881285905536</v>
      </c>
      <c r="J62" s="6">
        <f t="shared" si="4"/>
        <v>0.97786881285905536</v>
      </c>
      <c r="K62" s="6">
        <f>VLOOKUP($A62,'Sectors (1)'!$AA$19:$AB$103,2)</f>
        <v>0.97752151705363055</v>
      </c>
      <c r="L62" s="6">
        <f>VLOOKUP($A62,'Sectors (2)'!$AA$19:$AB$103,2)</f>
        <v>0.97720150823612706</v>
      </c>
      <c r="M62" s="6">
        <f>VLOOKUP($A62,'Sectors (3)'!$AA$19:$AB$103,2)</f>
        <v>0.97665579402649594</v>
      </c>
      <c r="N62" s="6">
        <f>VLOOKUP($A62,'Sectors (4)'!$AA$19:$AB$103,2)</f>
        <v>0.97735703856363787</v>
      </c>
      <c r="O62" s="6">
        <f t="shared" si="5"/>
        <v>0.97765454572065569</v>
      </c>
      <c r="P62" s="49">
        <f t="shared" si="6"/>
        <v>0.97765454572065569</v>
      </c>
    </row>
    <row r="63" spans="1:16" x14ac:dyDescent="0.25">
      <c r="A63">
        <v>64</v>
      </c>
      <c r="B63" s="45">
        <f>VLOOKUP($A63,'hours (1)'!$A$19:$C$103,3)</f>
        <v>0.9781638801514505</v>
      </c>
      <c r="C63" s="45">
        <f t="shared" ref="C63:F63" si="61">B63</f>
        <v>0.9781638801514505</v>
      </c>
      <c r="D63" s="45">
        <f t="shared" si="61"/>
        <v>0.9781638801514505</v>
      </c>
      <c r="E63" s="45">
        <f t="shared" si="61"/>
        <v>0.9781638801514505</v>
      </c>
      <c r="F63" s="45">
        <f t="shared" si="61"/>
        <v>0.9781638801514505</v>
      </c>
      <c r="G63" s="45">
        <f t="shared" si="2"/>
        <v>0.9781638801514505</v>
      </c>
      <c r="H63" s="51">
        <f t="shared" si="3"/>
        <v>0.9781638801514505</v>
      </c>
      <c r="J63" s="6">
        <f t="shared" si="4"/>
        <v>0.9781638801514505</v>
      </c>
      <c r="K63" s="6">
        <f>VLOOKUP($A63,'Sectors (1)'!$AA$19:$AB$103,2)</f>
        <v>0.9776566932403048</v>
      </c>
      <c r="L63" s="6">
        <f>VLOOKUP($A63,'Sectors (2)'!$AA$19:$AB$103,2)</f>
        <v>0.97750473071008126</v>
      </c>
      <c r="M63" s="6">
        <f>VLOOKUP($A63,'Sectors (3)'!$AA$19:$AB$103,2)</f>
        <v>0.97696433215228062</v>
      </c>
      <c r="N63" s="6">
        <f>VLOOKUP($A63,'Sectors (4)'!$AA$19:$AB$103,2)</f>
        <v>0.97749266827109349</v>
      </c>
      <c r="O63" s="6">
        <f t="shared" si="5"/>
        <v>0.97788861623105872</v>
      </c>
      <c r="P63" s="49">
        <f t="shared" si="6"/>
        <v>0.97788861623105872</v>
      </c>
    </row>
    <row r="64" spans="1:16" x14ac:dyDescent="0.25">
      <c r="A64">
        <v>65</v>
      </c>
      <c r="B64" s="45">
        <f>VLOOKUP($A64,'hours (1)'!$A$19:$C$103,3)</f>
        <v>0.98274840737260261</v>
      </c>
      <c r="C64" s="45">
        <f t="shared" ref="C64:F64" si="62">B64</f>
        <v>0.98274840737260261</v>
      </c>
      <c r="D64" s="45">
        <f t="shared" si="62"/>
        <v>0.98274840737260261</v>
      </c>
      <c r="E64" s="45">
        <f t="shared" si="62"/>
        <v>0.98274840737260261</v>
      </c>
      <c r="F64" s="45">
        <f t="shared" si="62"/>
        <v>0.98274840737260261</v>
      </c>
      <c r="G64" s="45">
        <f t="shared" si="2"/>
        <v>0.98274840737260261</v>
      </c>
      <c r="H64" s="51">
        <f t="shared" si="3"/>
        <v>0.98274840737260261</v>
      </c>
      <c r="J64" s="6">
        <f t="shared" si="4"/>
        <v>0.98274840737260261</v>
      </c>
      <c r="K64" s="6">
        <f>VLOOKUP($A64,'Sectors (1)'!$AA$19:$AB$103,2)</f>
        <v>0.97795274581562264</v>
      </c>
      <c r="L64" s="6">
        <f>VLOOKUP($A64,'Sectors (2)'!$AA$19:$AB$103,2)</f>
        <v>0.98221742740469253</v>
      </c>
      <c r="M64" s="6">
        <f>VLOOKUP($A64,'Sectors (3)'!$AA$19:$AB$103,2)</f>
        <v>0.98176342283402485</v>
      </c>
      <c r="N64" s="6">
        <f>VLOOKUP($A64,'Sectors (4)'!$AA$19:$AB$103,2)</f>
        <v>0.97778984917164824</v>
      </c>
      <c r="O64" s="6">
        <f t="shared" si="5"/>
        <v>0.98082867415405306</v>
      </c>
      <c r="P64" s="49">
        <f t="shared" si="6"/>
        <v>0.98082867415405306</v>
      </c>
    </row>
    <row r="65" spans="1:16" x14ac:dyDescent="0.25">
      <c r="A65">
        <v>66</v>
      </c>
      <c r="B65" s="45">
        <f>VLOOKUP($A65,'hours (1)'!$A$19:$C$103,3)</f>
        <v>0.98296494444392357</v>
      </c>
      <c r="C65" s="45">
        <f t="shared" ref="C65:F65" si="63">B65</f>
        <v>0.98296494444392357</v>
      </c>
      <c r="D65" s="45">
        <f t="shared" si="63"/>
        <v>0.98296494444392357</v>
      </c>
      <c r="E65" s="45">
        <f t="shared" si="63"/>
        <v>0.98296494444392357</v>
      </c>
      <c r="F65" s="45">
        <f t="shared" si="63"/>
        <v>0.98296494444392357</v>
      </c>
      <c r="G65" s="45">
        <f t="shared" si="2"/>
        <v>0.98296494444392368</v>
      </c>
      <c r="H65" s="51">
        <f t="shared" si="3"/>
        <v>0.98296494444392368</v>
      </c>
      <c r="J65" s="6">
        <f t="shared" si="4"/>
        <v>0.98296494444392357</v>
      </c>
      <c r="K65" s="6">
        <f>VLOOKUP($A65,'Sectors (1)'!$AA$19:$AB$103,2)</f>
        <v>0.98255614144316439</v>
      </c>
      <c r="L65" s="6">
        <f>VLOOKUP($A65,'Sectors (2)'!$AA$19:$AB$103,2)</f>
        <v>0.98244008468488642</v>
      </c>
      <c r="M65" s="6">
        <f>VLOOKUP($A65,'Sectors (3)'!$AA$19:$AB$103,2)</f>
        <v>0.98199033425553051</v>
      </c>
      <c r="N65" s="6">
        <f>VLOOKUP($A65,'Sectors (4)'!$AA$19:$AB$103,2)</f>
        <v>0.9824128162707737</v>
      </c>
      <c r="O65" s="6">
        <f t="shared" si="5"/>
        <v>0.98274113258296036</v>
      </c>
      <c r="P65" s="49">
        <f t="shared" si="6"/>
        <v>0.98274113258296036</v>
      </c>
    </row>
    <row r="66" spans="1:16" x14ac:dyDescent="0.25">
      <c r="A66">
        <v>67</v>
      </c>
      <c r="B66" s="45">
        <f>VLOOKUP($A66,'hours (1)'!$A$19:$C$103,3)</f>
        <v>0.983019801993817</v>
      </c>
      <c r="C66" s="45">
        <f t="shared" ref="C66:F66" si="64">B66</f>
        <v>0.983019801993817</v>
      </c>
      <c r="D66" s="45">
        <f t="shared" si="64"/>
        <v>0.983019801993817</v>
      </c>
      <c r="E66" s="45">
        <f t="shared" si="64"/>
        <v>0.983019801993817</v>
      </c>
      <c r="F66" s="45">
        <f t="shared" si="64"/>
        <v>0.983019801993817</v>
      </c>
      <c r="G66" s="45">
        <f t="shared" si="2"/>
        <v>0.98301980199381711</v>
      </c>
      <c r="H66" s="51">
        <f t="shared" si="3"/>
        <v>0.98301980199381711</v>
      </c>
      <c r="J66" s="6">
        <f t="shared" si="4"/>
        <v>0.983019801993817</v>
      </c>
      <c r="K66" s="6">
        <f>VLOOKUP($A66,'Sectors (1)'!$AA$19:$AB$103,2)</f>
        <v>0.98277373227960396</v>
      </c>
      <c r="L66" s="6">
        <f>VLOOKUP($A66,'Sectors (2)'!$AA$19:$AB$103,2)</f>
        <v>0.98249650897525442</v>
      </c>
      <c r="M66" s="6">
        <f>VLOOKUP($A66,'Sectors (3)'!$AA$19:$AB$103,2)</f>
        <v>0.98204787879949795</v>
      </c>
      <c r="N66" s="6">
        <f>VLOOKUP($A66,'Sectors (4)'!$AA$19:$AB$103,2)</f>
        <v>0.9826314247244482</v>
      </c>
      <c r="O66" s="6">
        <f t="shared" si="5"/>
        <v>0.98285905176281119</v>
      </c>
      <c r="P66" s="49">
        <f t="shared" si="6"/>
        <v>0.98285905176281119</v>
      </c>
    </row>
    <row r="67" spans="1:16" x14ac:dyDescent="0.25">
      <c r="A67">
        <v>68</v>
      </c>
      <c r="B67" s="45">
        <f>VLOOKUP($A67,'hours (1)'!$A$19:$C$103,3)</f>
        <v>0.98330163917303626</v>
      </c>
      <c r="C67" s="45">
        <f t="shared" ref="C67:F67" si="65">B67</f>
        <v>0.98330163917303626</v>
      </c>
      <c r="D67" s="45">
        <f t="shared" si="65"/>
        <v>0.98330163917303626</v>
      </c>
      <c r="E67" s="45">
        <f t="shared" si="65"/>
        <v>0.98330163917303626</v>
      </c>
      <c r="F67" s="45">
        <f t="shared" si="65"/>
        <v>0.98330163917303626</v>
      </c>
      <c r="G67" s="45">
        <f t="shared" si="2"/>
        <v>0.98330163917303626</v>
      </c>
      <c r="H67" s="51">
        <f t="shared" si="3"/>
        <v>0.98330163917303626</v>
      </c>
      <c r="J67" s="6">
        <f t="shared" si="4"/>
        <v>0.98330163917303626</v>
      </c>
      <c r="K67" s="6">
        <f>VLOOKUP($A67,'Sectors (1)'!$AA$19:$AB$103,2)</f>
        <v>0.98282889663439676</v>
      </c>
      <c r="L67" s="6">
        <f>VLOOKUP($A67,'Sectors (2)'!$AA$19:$AB$103,2)</f>
        <v>0.98278647601534808</v>
      </c>
      <c r="M67" s="6">
        <f>VLOOKUP($A67,'Sectors (3)'!$AA$19:$AB$103,2)</f>
        <v>0.98234381252082581</v>
      </c>
      <c r="N67" s="6">
        <f>VLOOKUP($A67,'Sectors (4)'!$AA$19:$AB$103,2)</f>
        <v>0.98268686973621944</v>
      </c>
      <c r="O67" s="6">
        <f t="shared" si="5"/>
        <v>0.98305412349437282</v>
      </c>
      <c r="P67" s="49">
        <f t="shared" si="6"/>
        <v>0.98305412349437282</v>
      </c>
    </row>
    <row r="68" spans="1:16" x14ac:dyDescent="0.25">
      <c r="A68">
        <v>69</v>
      </c>
      <c r="B68" s="45">
        <f>VLOOKUP($A68,'hours (1)'!$A$19:$C$103,3)</f>
        <v>0.98335959549110019</v>
      </c>
      <c r="C68" s="45">
        <f t="shared" ref="C68:F68" si="66">B68</f>
        <v>0.98335959549110019</v>
      </c>
      <c r="D68" s="45">
        <f t="shared" si="66"/>
        <v>0.98335959549110019</v>
      </c>
      <c r="E68" s="45">
        <f t="shared" si="66"/>
        <v>0.98335959549110019</v>
      </c>
      <c r="F68" s="45">
        <f t="shared" si="66"/>
        <v>0.98335959549110019</v>
      </c>
      <c r="G68" s="45">
        <f t="shared" si="2"/>
        <v>0.98335959549110019</v>
      </c>
      <c r="H68" s="51">
        <f t="shared" si="3"/>
        <v>0.98335959549110019</v>
      </c>
      <c r="J68" s="6">
        <f t="shared" si="4"/>
        <v>0.98335959549110019</v>
      </c>
      <c r="K68" s="6">
        <f>VLOOKUP($A68,'Sectors (1)'!$AA$19:$AB$103,2)</f>
        <v>0.98311250820258089</v>
      </c>
      <c r="L68" s="6">
        <f>VLOOKUP($A68,'Sectors (2)'!$AA$19:$AB$103,2)</f>
        <v>0.98284612013247696</v>
      </c>
      <c r="M68" s="6">
        <f>VLOOKUP($A68,'Sectors (3)'!$AA$19:$AB$103,2)</f>
        <v>0.98240472565333492</v>
      </c>
      <c r="N68" s="6">
        <f>VLOOKUP($A68,'Sectors (4)'!$AA$19:$AB$103,2)</f>
        <v>0.98297203690153445</v>
      </c>
      <c r="O68" s="6">
        <f t="shared" si="5"/>
        <v>0.98319951263767591</v>
      </c>
      <c r="P68" s="49">
        <f t="shared" si="6"/>
        <v>0.98319951263767591</v>
      </c>
    </row>
    <row r="69" spans="1:16" x14ac:dyDescent="0.25">
      <c r="A69">
        <v>70</v>
      </c>
      <c r="B69" s="45">
        <f>VLOOKUP($A69,'hours (1)'!$A$19:$C$103,3)</f>
        <v>0.99028804701996365</v>
      </c>
      <c r="C69" s="45">
        <f t="shared" ref="C69:F69" si="67">B69</f>
        <v>0.99028804701996365</v>
      </c>
      <c r="D69" s="45">
        <f t="shared" si="67"/>
        <v>0.99028804701996365</v>
      </c>
      <c r="E69" s="45">
        <f t="shared" si="67"/>
        <v>0.99028804701996365</v>
      </c>
      <c r="F69" s="45">
        <f t="shared" si="67"/>
        <v>0.99028804701996365</v>
      </c>
      <c r="G69" s="45">
        <f t="shared" si="2"/>
        <v>0.99028804701996376</v>
      </c>
      <c r="H69" s="51">
        <f t="shared" si="3"/>
        <v>0.99028804701996376</v>
      </c>
      <c r="J69" s="6">
        <f t="shared" si="4"/>
        <v>0.99028804701996365</v>
      </c>
      <c r="K69" s="6">
        <f>VLOOKUP($A69,'Sectors (1)'!$AA$19:$AB$103,2)</f>
        <v>0.98317086886235705</v>
      </c>
      <c r="L69" s="6">
        <f>VLOOKUP($A69,'Sectors (2)'!$AA$19:$AB$103,2)</f>
        <v>0.98997818887117384</v>
      </c>
      <c r="M69" s="6">
        <f>VLOOKUP($A69,'Sectors (3)'!$AA$19:$AB$103,2)</f>
        <v>0.98969336689344645</v>
      </c>
      <c r="N69" s="6">
        <f>VLOOKUP($A69,'Sectors (4)'!$AA$19:$AB$103,2)</f>
        <v>0.98303074009936964</v>
      </c>
      <c r="O69" s="6">
        <f t="shared" si="5"/>
        <v>0.98749385015958202</v>
      </c>
      <c r="P69" s="49">
        <f t="shared" si="6"/>
        <v>0.98749385015958202</v>
      </c>
    </row>
    <row r="70" spans="1:16" x14ac:dyDescent="0.25">
      <c r="A70">
        <v>71</v>
      </c>
      <c r="B70" s="45">
        <f>VLOOKUP($A70,'hours (1)'!$A$19:$C$103,3)</f>
        <v>0.99032278034356791</v>
      </c>
      <c r="C70" s="45">
        <f t="shared" ref="C70:F70" si="68">B70</f>
        <v>0.99032278034356791</v>
      </c>
      <c r="D70" s="45">
        <f t="shared" si="68"/>
        <v>0.99032278034356791</v>
      </c>
      <c r="E70" s="45">
        <f t="shared" si="68"/>
        <v>0.99032278034356791</v>
      </c>
      <c r="F70" s="45">
        <f t="shared" si="68"/>
        <v>0.99032278034356791</v>
      </c>
      <c r="G70" s="45">
        <f t="shared" si="2"/>
        <v>0.99032278034356791</v>
      </c>
      <c r="H70" s="51">
        <f t="shared" si="3"/>
        <v>0.99032278034356791</v>
      </c>
      <c r="J70" s="6">
        <f t="shared" si="4"/>
        <v>0.99032278034356791</v>
      </c>
      <c r="K70" s="6">
        <f>VLOOKUP($A70,'Sectors (1)'!$AA$19:$AB$103,2)</f>
        <v>0.99015222881190745</v>
      </c>
      <c r="L70" s="6">
        <f>VLOOKUP($A70,'Sectors (2)'!$AA$19:$AB$103,2)</f>
        <v>0.99001395191068831</v>
      </c>
      <c r="M70" s="6">
        <f>VLOOKUP($A70,'Sectors (3)'!$AA$19:$AB$103,2)</f>
        <v>0.98972993848996249</v>
      </c>
      <c r="N70" s="6">
        <f>VLOOKUP($A70,'Sectors (4)'!$AA$19:$AB$103,2)</f>
        <v>0.99005567351064871</v>
      </c>
      <c r="O70" s="6">
        <f t="shared" si="5"/>
        <v>0.99021545051415982</v>
      </c>
      <c r="P70" s="49">
        <f t="shared" si="6"/>
        <v>0.99021545051415982</v>
      </c>
    </row>
    <row r="71" spans="1:16" x14ac:dyDescent="0.25">
      <c r="A71">
        <v>72</v>
      </c>
      <c r="B71" s="45">
        <f>VLOOKUP($A71,'hours (1)'!$A$19:$C$103,3)</f>
        <v>0.99153875612071884</v>
      </c>
      <c r="C71" s="45">
        <f t="shared" ref="C71:F71" si="69">B71</f>
        <v>0.99153875612071884</v>
      </c>
      <c r="D71" s="45">
        <f t="shared" si="69"/>
        <v>0.99153875612071884</v>
      </c>
      <c r="E71" s="45">
        <f t="shared" si="69"/>
        <v>0.99153875612071884</v>
      </c>
      <c r="F71" s="45">
        <f t="shared" si="69"/>
        <v>0.99153875612071884</v>
      </c>
      <c r="G71" s="45">
        <f t="shared" si="2"/>
        <v>0.99153875612071884</v>
      </c>
      <c r="H71" s="51">
        <f t="shared" si="3"/>
        <v>0.99153875612071884</v>
      </c>
      <c r="J71" s="6">
        <f t="shared" si="4"/>
        <v>0.99153875612071884</v>
      </c>
      <c r="K71" s="6">
        <f>VLOOKUP($A71,'Sectors (1)'!$AA$19:$AB$103,2)</f>
        <v>0.99018724958762627</v>
      </c>
      <c r="L71" s="6">
        <f>VLOOKUP($A71,'Sectors (2)'!$AA$19:$AB$103,2)</f>
        <v>0.99126628012236873</v>
      </c>
      <c r="M71" s="6">
        <f>VLOOKUP($A71,'Sectors (3)'!$AA$19:$AB$103,2)</f>
        <v>0.99101137548629281</v>
      </c>
      <c r="N71" s="6">
        <f>VLOOKUP($A71,'Sectors (4)'!$AA$19:$AB$103,2)</f>
        <v>0.99009092548468813</v>
      </c>
      <c r="O71" s="6">
        <f t="shared" si="5"/>
        <v>0.99097880201631738</v>
      </c>
      <c r="P71" s="49">
        <f t="shared" si="6"/>
        <v>0.99097880201631738</v>
      </c>
    </row>
    <row r="72" spans="1:16" x14ac:dyDescent="0.25">
      <c r="A72">
        <v>73</v>
      </c>
      <c r="B72" s="45">
        <f>VLOOKUP($A72,'hours (1)'!$A$19:$C$103,3)</f>
        <v>0.99156437047762713</v>
      </c>
      <c r="C72" s="45">
        <f t="shared" ref="C72:F72" si="70">B72</f>
        <v>0.99156437047762713</v>
      </c>
      <c r="D72" s="45">
        <f t="shared" si="70"/>
        <v>0.99156437047762713</v>
      </c>
      <c r="E72" s="45">
        <f t="shared" si="70"/>
        <v>0.99156437047762713</v>
      </c>
      <c r="F72" s="45">
        <f t="shared" si="70"/>
        <v>0.99156437047762713</v>
      </c>
      <c r="G72" s="45">
        <f t="shared" ref="G72:G101" si="71">SUMPRODUCT($B$3:$F$3,$B72:$F72)/$G$3</f>
        <v>0.99156437047762724</v>
      </c>
      <c r="H72" s="51">
        <f t="shared" ref="H72:H101" si="72">INDEX(B72:G72,1,H$5+1)</f>
        <v>0.99156437047762724</v>
      </c>
      <c r="J72" s="6">
        <f t="shared" ref="J72:J101" si="73">B72</f>
        <v>0.99156437047762713</v>
      </c>
      <c r="K72" s="6">
        <f>VLOOKUP($A72,'Sectors (1)'!$AA$19:$AB$103,2)</f>
        <v>0.99141404305570213</v>
      </c>
      <c r="L72" s="6">
        <f>VLOOKUP($A72,'Sectors (2)'!$AA$19:$AB$103,2)</f>
        <v>0.99129266641951952</v>
      </c>
      <c r="M72" s="6">
        <f>VLOOKUP($A72,'Sectors (3)'!$AA$19:$AB$103,2)</f>
        <v>0.99103839134088689</v>
      </c>
      <c r="N72" s="6">
        <f>VLOOKUP($A72,'Sectors (4)'!$AA$19:$AB$103,2)</f>
        <v>0.99132624629793087</v>
      </c>
      <c r="O72" s="6">
        <f t="shared" ref="O72:O101" si="74">SUMPRODUCT($B$3:$F$3,$J72:$N72)/$G$3</f>
        <v>0.9914692247500827</v>
      </c>
      <c r="P72" s="49">
        <f t="shared" ref="P72:P101" si="75">INDEX(J72:O72,1,P$5+1)</f>
        <v>0.9914692247500827</v>
      </c>
    </row>
    <row r="73" spans="1:16" x14ac:dyDescent="0.25">
      <c r="A73">
        <v>74</v>
      </c>
      <c r="B73" s="45">
        <f>VLOOKUP($A73,'hours (1)'!$A$19:$C$103,3)</f>
        <v>0.99165771771184896</v>
      </c>
      <c r="C73" s="45">
        <f t="shared" ref="C73:F73" si="76">B73</f>
        <v>0.99165771771184896</v>
      </c>
      <c r="D73" s="45">
        <f t="shared" si="76"/>
        <v>0.99165771771184896</v>
      </c>
      <c r="E73" s="45">
        <f t="shared" si="76"/>
        <v>0.99165771771184896</v>
      </c>
      <c r="F73" s="45">
        <f t="shared" si="76"/>
        <v>0.99165771771184896</v>
      </c>
      <c r="G73" s="45">
        <f t="shared" si="71"/>
        <v>0.99165771771184896</v>
      </c>
      <c r="H73" s="51">
        <f t="shared" si="72"/>
        <v>0.99165771771184896</v>
      </c>
      <c r="J73" s="6">
        <f t="shared" si="73"/>
        <v>0.99165771771184896</v>
      </c>
      <c r="K73" s="6">
        <f>VLOOKUP($A73,'Sectors (1)'!$AA$19:$AB$103,2)</f>
        <v>0.99143990070411037</v>
      </c>
      <c r="L73" s="6">
        <f>VLOOKUP($A73,'Sectors (2)'!$AA$19:$AB$103,2)</f>
        <v>0.99138884867394694</v>
      </c>
      <c r="M73" s="6">
        <f>VLOOKUP($A73,'Sectors (3)'!$AA$19:$AB$103,2)</f>
        <v>0.99113692584635826</v>
      </c>
      <c r="N73" s="6">
        <f>VLOOKUP($A73,'Sectors (4)'!$AA$19:$AB$103,2)</f>
        <v>0.99135229243402734</v>
      </c>
      <c r="O73" s="6">
        <f t="shared" si="74"/>
        <v>0.99153679699276753</v>
      </c>
      <c r="P73" s="49">
        <f t="shared" si="75"/>
        <v>0.99153679699276753</v>
      </c>
    </row>
    <row r="74" spans="1:16" x14ac:dyDescent="0.25">
      <c r="A74">
        <v>75</v>
      </c>
      <c r="B74" s="45">
        <f>VLOOKUP($A74,'hours (1)'!$A$19:$C$103,3)</f>
        <v>0.99258834442635968</v>
      </c>
      <c r="C74" s="45">
        <f t="shared" ref="C74:F74" si="77">B74</f>
        <v>0.99258834442635968</v>
      </c>
      <c r="D74" s="45">
        <f t="shared" si="77"/>
        <v>0.99258834442635968</v>
      </c>
      <c r="E74" s="45">
        <f t="shared" si="77"/>
        <v>0.99258834442635968</v>
      </c>
      <c r="F74" s="45">
        <f t="shared" si="77"/>
        <v>0.99258834442635968</v>
      </c>
      <c r="G74" s="45">
        <f t="shared" si="71"/>
        <v>0.99258834442635968</v>
      </c>
      <c r="H74" s="51">
        <f t="shared" si="72"/>
        <v>0.99258834442635968</v>
      </c>
      <c r="J74" s="6">
        <f t="shared" si="73"/>
        <v>0.99258834442635968</v>
      </c>
      <c r="K74" s="6">
        <f>VLOOKUP($A74,'Sectors (1)'!$AA$19:$AB$103,2)</f>
        <v>0.99153418912227809</v>
      </c>
      <c r="L74" s="6">
        <f>VLOOKUP($A74,'Sectors (2)'!$AA$19:$AB$103,2)</f>
        <v>0.99234794985030994</v>
      </c>
      <c r="M74" s="6">
        <f>VLOOKUP($A74,'Sectors (3)'!$AA$19:$AB$103,2)</f>
        <v>0.99212003845896823</v>
      </c>
      <c r="N74" s="6">
        <f>VLOOKUP($A74,'Sectors (4)'!$AA$19:$AB$103,2)</f>
        <v>0.99144729912021867</v>
      </c>
      <c r="O74" s="6">
        <f t="shared" si="74"/>
        <v>0.99214723061034515</v>
      </c>
      <c r="P74" s="49">
        <f t="shared" si="75"/>
        <v>0.99214723061034515</v>
      </c>
    </row>
    <row r="75" spans="1:16" x14ac:dyDescent="0.25">
      <c r="A75">
        <v>76</v>
      </c>
      <c r="B75" s="45">
        <f>VLOOKUP($A75,'hours (1)'!$A$19:$C$103,3)</f>
        <v>0.99266738437893998</v>
      </c>
      <c r="C75" s="45">
        <f t="shared" ref="C75:F75" si="78">B75</f>
        <v>0.99266738437893998</v>
      </c>
      <c r="D75" s="45">
        <f t="shared" si="78"/>
        <v>0.99266738437893998</v>
      </c>
      <c r="E75" s="45">
        <f t="shared" si="78"/>
        <v>0.99266738437893998</v>
      </c>
      <c r="F75" s="45">
        <f t="shared" si="78"/>
        <v>0.99266738437893998</v>
      </c>
      <c r="G75" s="45">
        <f t="shared" si="71"/>
        <v>0.99266738437894009</v>
      </c>
      <c r="H75" s="51">
        <f t="shared" si="72"/>
        <v>0.99266738437894009</v>
      </c>
      <c r="J75" s="6">
        <f t="shared" si="73"/>
        <v>0.99266738437893998</v>
      </c>
      <c r="K75" s="6">
        <f>VLOOKUP($A75,'Sectors (1)'!$AA$19:$AB$103,2)</f>
        <v>0.99247472716031937</v>
      </c>
      <c r="L75" s="6">
        <f>VLOOKUP($A75,'Sectors (2)'!$AA$19:$AB$103,2)</f>
        <v>0.99242942553878588</v>
      </c>
      <c r="M75" s="6">
        <f>VLOOKUP($A75,'Sectors (3)'!$AA$19:$AB$103,2)</f>
        <v>0.99220359972485039</v>
      </c>
      <c r="N75" s="6">
        <f>VLOOKUP($A75,'Sectors (4)'!$AA$19:$AB$103,2)</f>
        <v>0.99239530163797329</v>
      </c>
      <c r="O75" s="6">
        <f t="shared" si="74"/>
        <v>0.99256000778317444</v>
      </c>
      <c r="P75" s="49">
        <f t="shared" si="75"/>
        <v>0.99256000778317444</v>
      </c>
    </row>
    <row r="76" spans="1:16" x14ac:dyDescent="0.25">
      <c r="A76">
        <v>77</v>
      </c>
      <c r="B76" s="45">
        <f>VLOOKUP($A76,'hours (1)'!$A$19:$C$103,3)</f>
        <v>0.99278801674851591</v>
      </c>
      <c r="C76" s="45">
        <f t="shared" ref="C76:F76" si="79">B76</f>
        <v>0.99278801674851591</v>
      </c>
      <c r="D76" s="45">
        <f t="shared" si="79"/>
        <v>0.99278801674851591</v>
      </c>
      <c r="E76" s="45">
        <f t="shared" si="79"/>
        <v>0.99278801674851591</v>
      </c>
      <c r="F76" s="45">
        <f t="shared" si="79"/>
        <v>0.99278801674851591</v>
      </c>
      <c r="G76" s="45">
        <f t="shared" si="71"/>
        <v>0.99278801674851591</v>
      </c>
      <c r="H76" s="51">
        <f t="shared" si="72"/>
        <v>0.99278801674851591</v>
      </c>
      <c r="J76" s="6">
        <f t="shared" si="73"/>
        <v>0.99278801674851591</v>
      </c>
      <c r="K76" s="6">
        <f>VLOOKUP($A76,'Sectors (1)'!$AA$19:$AB$103,2)</f>
        <v>0.9925546524876222</v>
      </c>
      <c r="L76" s="6">
        <f>VLOOKUP($A76,'Sectors (2)'!$AA$19:$AB$103,2)</f>
        <v>0.99255380104718638</v>
      </c>
      <c r="M76" s="6">
        <f>VLOOKUP($A76,'Sectors (3)'!$AA$19:$AB$103,2)</f>
        <v>0.99233122684349084</v>
      </c>
      <c r="N76" s="6">
        <f>VLOOKUP($A76,'Sectors (4)'!$AA$19:$AB$103,2)</f>
        <v>0.99247588600686942</v>
      </c>
      <c r="O76" s="6">
        <f t="shared" si="74"/>
        <v>0.99266535136167044</v>
      </c>
      <c r="P76" s="49">
        <f t="shared" si="75"/>
        <v>0.99266535136167044</v>
      </c>
    </row>
    <row r="77" spans="1:16" x14ac:dyDescent="0.25">
      <c r="A77">
        <v>78</v>
      </c>
      <c r="B77" s="45">
        <f>VLOOKUP($A77,'hours (1)'!$A$19:$C$103,3)</f>
        <v>0.99287942490329972</v>
      </c>
      <c r="C77" s="45">
        <f t="shared" ref="C77:F77" si="80">B77</f>
        <v>0.99287942490329972</v>
      </c>
      <c r="D77" s="45">
        <f t="shared" si="80"/>
        <v>0.99287942490329972</v>
      </c>
      <c r="E77" s="45">
        <f t="shared" si="80"/>
        <v>0.99287942490329972</v>
      </c>
      <c r="F77" s="45">
        <f t="shared" si="80"/>
        <v>0.99287942490329972</v>
      </c>
      <c r="G77" s="45">
        <f t="shared" si="71"/>
        <v>0.99287942490329972</v>
      </c>
      <c r="H77" s="51">
        <f t="shared" si="72"/>
        <v>0.99287942490329972</v>
      </c>
      <c r="J77" s="6">
        <f t="shared" si="73"/>
        <v>0.99287942490329972</v>
      </c>
      <c r="K77" s="6">
        <f>VLOOKUP($A77,'Sectors (1)'!$AA$19:$AB$103,2)</f>
        <v>0.99267670079644899</v>
      </c>
      <c r="L77" s="6">
        <f>VLOOKUP($A77,'Sectors (2)'!$AA$19:$AB$103,2)</f>
        <v>0.99264806440452147</v>
      </c>
      <c r="M77" s="6">
        <f>VLOOKUP($A77,'Sectors (3)'!$AA$19:$AB$103,2)</f>
        <v>0.99242800457218117</v>
      </c>
      <c r="N77" s="6">
        <f>VLOOKUP($A77,'Sectors (4)'!$AA$19:$AB$103,2)</f>
        <v>0.9925989773586491</v>
      </c>
      <c r="O77" s="6">
        <f t="shared" si="74"/>
        <v>0.99276898379490119</v>
      </c>
      <c r="P77" s="49">
        <f t="shared" si="75"/>
        <v>0.99276898379490119</v>
      </c>
    </row>
    <row r="78" spans="1:16" x14ac:dyDescent="0.25">
      <c r="A78">
        <v>79</v>
      </c>
      <c r="B78" s="45">
        <f>VLOOKUP($A78,'hours (1)'!$A$19:$C$103,3)</f>
        <v>0.99287942490329972</v>
      </c>
      <c r="C78" s="45">
        <f t="shared" ref="C78:F78" si="81">B78</f>
        <v>0.99287942490329972</v>
      </c>
      <c r="D78" s="45">
        <f t="shared" si="81"/>
        <v>0.99287942490329972</v>
      </c>
      <c r="E78" s="45">
        <f t="shared" si="81"/>
        <v>0.99287942490329972</v>
      </c>
      <c r="F78" s="45">
        <f t="shared" si="81"/>
        <v>0.99287942490329972</v>
      </c>
      <c r="G78" s="45">
        <f t="shared" si="71"/>
        <v>0.99287942490329972</v>
      </c>
      <c r="H78" s="51">
        <f t="shared" si="72"/>
        <v>0.99287942490329972</v>
      </c>
      <c r="J78" s="6">
        <f t="shared" si="73"/>
        <v>0.99287942490329972</v>
      </c>
      <c r="K78" s="6">
        <f>VLOOKUP($A78,'Sectors (1)'!$AA$19:$AB$103,2)</f>
        <v>0.99276922951360091</v>
      </c>
      <c r="L78" s="6">
        <f>VLOOKUP($A78,'Sectors (2)'!$AA$19:$AB$103,2)</f>
        <v>0.99264806440452147</v>
      </c>
      <c r="M78" s="6">
        <f>VLOOKUP($A78,'Sectors (3)'!$AA$19:$AB$103,2)</f>
        <v>0.99242800457218117</v>
      </c>
      <c r="N78" s="6">
        <f>VLOOKUP($A78,'Sectors (4)'!$AA$19:$AB$103,2)</f>
        <v>0.99269232385092299</v>
      </c>
      <c r="O78" s="6">
        <f t="shared" si="74"/>
        <v>0.99280480976018404</v>
      </c>
      <c r="P78" s="49">
        <f t="shared" si="75"/>
        <v>0.99280480976018404</v>
      </c>
    </row>
    <row r="79" spans="1:16" x14ac:dyDescent="0.25">
      <c r="A79">
        <v>80</v>
      </c>
      <c r="B79" s="45">
        <f>VLOOKUP($A79,'hours (1)'!$A$19:$C$103,3)</f>
        <v>0.99677977835391363</v>
      </c>
      <c r="C79" s="45">
        <f t="shared" ref="C79:F79" si="82">B79</f>
        <v>0.99677977835391363</v>
      </c>
      <c r="D79" s="45">
        <f t="shared" si="82"/>
        <v>0.99677977835391363</v>
      </c>
      <c r="E79" s="45">
        <f t="shared" si="82"/>
        <v>0.99677977835391363</v>
      </c>
      <c r="F79" s="45">
        <f t="shared" si="82"/>
        <v>0.99677977835391363</v>
      </c>
      <c r="G79" s="45">
        <f t="shared" si="71"/>
        <v>0.99677977835391363</v>
      </c>
      <c r="H79" s="51">
        <f t="shared" si="72"/>
        <v>0.99677977835391363</v>
      </c>
      <c r="J79" s="6">
        <f t="shared" si="73"/>
        <v>0.99677977835391363</v>
      </c>
      <c r="K79" s="6">
        <f>VLOOKUP($A79,'Sectors (1)'!$AA$19:$AB$103,2)</f>
        <v>0.99276922951360091</v>
      </c>
      <c r="L79" s="6">
        <f>VLOOKUP($A79,'Sectors (2)'!$AA$19:$AB$103,2)</f>
        <v>0.99667178878829554</v>
      </c>
      <c r="M79" s="6">
        <f>VLOOKUP($A79,'Sectors (3)'!$AA$19:$AB$103,2)</f>
        <v>0.99656314858799111</v>
      </c>
      <c r="N79" s="6">
        <f>VLOOKUP($A79,'Sectors (4)'!$AA$19:$AB$103,2)</f>
        <v>0.99269232385092299</v>
      </c>
      <c r="O79" s="6">
        <f t="shared" si="74"/>
        <v>0.99521085849156732</v>
      </c>
      <c r="P79" s="49">
        <f t="shared" si="75"/>
        <v>0.99521085849156732</v>
      </c>
    </row>
    <row r="80" spans="1:16" x14ac:dyDescent="0.25">
      <c r="A80">
        <v>81</v>
      </c>
      <c r="B80" s="45">
        <f>VLOOKUP($A80,'hours (1)'!$A$19:$C$103,3)</f>
        <v>0.99677977835391363</v>
      </c>
      <c r="C80" s="45">
        <f t="shared" ref="C80:F80" si="83">B80</f>
        <v>0.99677977835391363</v>
      </c>
      <c r="D80" s="45">
        <f t="shared" si="83"/>
        <v>0.99677977835391363</v>
      </c>
      <c r="E80" s="45">
        <f t="shared" si="83"/>
        <v>0.99677977835391363</v>
      </c>
      <c r="F80" s="45">
        <f t="shared" si="83"/>
        <v>0.99677977835391363</v>
      </c>
      <c r="G80" s="45">
        <f t="shared" si="71"/>
        <v>0.99677977835391363</v>
      </c>
      <c r="H80" s="51">
        <f t="shared" si="72"/>
        <v>0.99677977835391363</v>
      </c>
      <c r="J80" s="6">
        <f t="shared" si="73"/>
        <v>0.99677977835391363</v>
      </c>
      <c r="K80" s="6">
        <f>VLOOKUP($A80,'Sectors (1)'!$AA$19:$AB$103,2)</f>
        <v>0.99672129943928622</v>
      </c>
      <c r="L80" s="6">
        <f>VLOOKUP($A80,'Sectors (2)'!$AA$19:$AB$103,2)</f>
        <v>0.99667178878829554</v>
      </c>
      <c r="M80" s="6">
        <f>VLOOKUP($A80,'Sectors (3)'!$AA$19:$AB$103,2)</f>
        <v>0.99656314858799111</v>
      </c>
      <c r="N80" s="6">
        <f>VLOOKUP($A80,'Sectors (4)'!$AA$19:$AB$103,2)</f>
        <v>0.99668153448309349</v>
      </c>
      <c r="O80" s="6">
        <f t="shared" si="74"/>
        <v>0.99674140593504723</v>
      </c>
      <c r="P80" s="49">
        <f t="shared" si="75"/>
        <v>0.99674140593504723</v>
      </c>
    </row>
    <row r="81" spans="1:16" x14ac:dyDescent="0.25">
      <c r="A81">
        <v>82</v>
      </c>
      <c r="B81" s="45">
        <f>VLOOKUP($A81,'hours (1)'!$A$19:$C$103,3)</f>
        <v>0.99682536448752557</v>
      </c>
      <c r="C81" s="45">
        <f t="shared" ref="C81:F81" si="84">B81</f>
        <v>0.99682536448752557</v>
      </c>
      <c r="D81" s="45">
        <f t="shared" si="84"/>
        <v>0.99682536448752557</v>
      </c>
      <c r="E81" s="45">
        <f t="shared" si="84"/>
        <v>0.99682536448752557</v>
      </c>
      <c r="F81" s="45">
        <f t="shared" si="84"/>
        <v>0.99682536448752557</v>
      </c>
      <c r="G81" s="45">
        <f t="shared" si="71"/>
        <v>0.99682536448752568</v>
      </c>
      <c r="H81" s="51">
        <f t="shared" si="72"/>
        <v>0.99682536448752568</v>
      </c>
      <c r="J81" s="6">
        <f t="shared" si="73"/>
        <v>0.99682536448752557</v>
      </c>
      <c r="K81" s="6">
        <f>VLOOKUP($A81,'Sectors (1)'!$AA$19:$AB$103,2)</f>
        <v>0.99672129943928622</v>
      </c>
      <c r="L81" s="6">
        <f>VLOOKUP($A81,'Sectors (2)'!$AA$19:$AB$103,2)</f>
        <v>0.99671883383391069</v>
      </c>
      <c r="M81" s="6">
        <f>VLOOKUP($A81,'Sectors (3)'!$AA$19:$AB$103,2)</f>
        <v>0.99661154160057519</v>
      </c>
      <c r="N81" s="6">
        <f>VLOOKUP($A81,'Sectors (4)'!$AA$19:$AB$103,2)</f>
        <v>0.99668153448309349</v>
      </c>
      <c r="O81" s="6">
        <f t="shared" si="74"/>
        <v>0.99676952957453269</v>
      </c>
      <c r="P81" s="49">
        <f t="shared" si="75"/>
        <v>0.99676952957453269</v>
      </c>
    </row>
    <row r="82" spans="1:16" x14ac:dyDescent="0.25">
      <c r="A82">
        <v>83</v>
      </c>
      <c r="B82" s="45">
        <f>VLOOKUP($A82,'hours (1)'!$A$19:$C$103,3)</f>
        <v>0.99682536448752557</v>
      </c>
      <c r="C82" s="45">
        <f t="shared" ref="C82:F82" si="85">B82</f>
        <v>0.99682536448752557</v>
      </c>
      <c r="D82" s="45">
        <f t="shared" si="85"/>
        <v>0.99682536448752557</v>
      </c>
      <c r="E82" s="45">
        <f t="shared" si="85"/>
        <v>0.99682536448752557</v>
      </c>
      <c r="F82" s="45">
        <f t="shared" si="85"/>
        <v>0.99682536448752557</v>
      </c>
      <c r="G82" s="45">
        <f t="shared" si="71"/>
        <v>0.99682536448752568</v>
      </c>
      <c r="H82" s="51">
        <f t="shared" si="72"/>
        <v>0.99682536448752568</v>
      </c>
      <c r="J82" s="6">
        <f t="shared" si="73"/>
        <v>0.99682536448752557</v>
      </c>
      <c r="K82" s="6">
        <f>VLOOKUP($A82,'Sectors (1)'!$AA$19:$AB$103,2)</f>
        <v>0.99676753324723277</v>
      </c>
      <c r="L82" s="6">
        <f>VLOOKUP($A82,'Sectors (2)'!$AA$19:$AB$103,2)</f>
        <v>0.99671883383391069</v>
      </c>
      <c r="M82" s="6">
        <f>VLOOKUP($A82,'Sectors (3)'!$AA$19:$AB$103,2)</f>
        <v>0.99661154160057519</v>
      </c>
      <c r="N82" s="6">
        <f>VLOOKUP($A82,'Sectors (4)'!$AA$19:$AB$103,2)</f>
        <v>0.99672822727736465</v>
      </c>
      <c r="O82" s="6">
        <f t="shared" si="74"/>
        <v>0.99678743881765808</v>
      </c>
      <c r="P82" s="49">
        <f t="shared" si="75"/>
        <v>0.99678743881765808</v>
      </c>
    </row>
    <row r="83" spans="1:16" x14ac:dyDescent="0.25">
      <c r="A83">
        <v>84</v>
      </c>
      <c r="B83" s="45">
        <f>VLOOKUP($A83,'hours (1)'!$A$19:$C$103,3)</f>
        <v>0.99755386206652585</v>
      </c>
      <c r="C83" s="45">
        <f t="shared" ref="C83:F83" si="86">B83</f>
        <v>0.99755386206652585</v>
      </c>
      <c r="D83" s="45">
        <f t="shared" si="86"/>
        <v>0.99755386206652585</v>
      </c>
      <c r="E83" s="45">
        <f t="shared" si="86"/>
        <v>0.99755386206652585</v>
      </c>
      <c r="F83" s="45">
        <f t="shared" si="86"/>
        <v>0.99755386206652585</v>
      </c>
      <c r="G83" s="45">
        <f t="shared" si="71"/>
        <v>0.99755386206652596</v>
      </c>
      <c r="H83" s="51">
        <f t="shared" si="72"/>
        <v>0.99755386206652596</v>
      </c>
      <c r="J83" s="6">
        <f t="shared" si="73"/>
        <v>0.99755386206652585</v>
      </c>
      <c r="K83" s="6">
        <f>VLOOKUP($A83,'Sectors (1)'!$AA$19:$AB$103,2)</f>
        <v>0.99676753324723277</v>
      </c>
      <c r="L83" s="6">
        <f>VLOOKUP($A83,'Sectors (2)'!$AA$19:$AB$103,2)</f>
        <v>0.99747090246479531</v>
      </c>
      <c r="M83" s="6">
        <f>VLOOKUP($A83,'Sectors (3)'!$AA$19:$AB$103,2)</f>
        <v>0.99738584458707857</v>
      </c>
      <c r="N83" s="6">
        <f>VLOOKUP($A83,'Sectors (4)'!$AA$19:$AB$103,2)</f>
        <v>0.99672822727736465</v>
      </c>
      <c r="O83" s="6">
        <f t="shared" si="74"/>
        <v>0.9972369113491395</v>
      </c>
      <c r="P83" s="49">
        <f t="shared" si="75"/>
        <v>0.9972369113491395</v>
      </c>
    </row>
    <row r="84" spans="1:16" x14ac:dyDescent="0.25">
      <c r="A84">
        <v>85</v>
      </c>
      <c r="B84" s="45">
        <f>VLOOKUP($A84,'hours (1)'!$A$19:$C$103,3)</f>
        <v>0.99785113149006377</v>
      </c>
      <c r="C84" s="45">
        <f t="shared" ref="C84:F84" si="87">B84</f>
        <v>0.99785113149006377</v>
      </c>
      <c r="D84" s="45">
        <f t="shared" si="87"/>
        <v>0.99785113149006377</v>
      </c>
      <c r="E84" s="45">
        <f t="shared" si="87"/>
        <v>0.99785113149006377</v>
      </c>
      <c r="F84" s="45">
        <f t="shared" si="87"/>
        <v>0.99785113149006377</v>
      </c>
      <c r="G84" s="45">
        <f t="shared" si="71"/>
        <v>0.99785113149006377</v>
      </c>
      <c r="H84" s="51">
        <f t="shared" si="72"/>
        <v>0.99785113149006377</v>
      </c>
      <c r="J84" s="6">
        <f t="shared" si="73"/>
        <v>0.99785113149006377</v>
      </c>
      <c r="K84" s="6">
        <f>VLOOKUP($A84,'Sectors (1)'!$AA$19:$AB$103,2)</f>
        <v>0.99750703675526653</v>
      </c>
      <c r="L84" s="6">
        <f>VLOOKUP($A84,'Sectors (2)'!$AA$19:$AB$103,2)</f>
        <v>0.99777784048853513</v>
      </c>
      <c r="M84" s="6">
        <f>VLOOKUP($A84,'Sectors (3)'!$AA$19:$AB$103,2)</f>
        <v>0.99770199147749095</v>
      </c>
      <c r="N84" s="6">
        <f>VLOOKUP($A84,'Sectors (4)'!$AA$19:$AB$103,2)</f>
        <v>0.99747544349771378</v>
      </c>
      <c r="O84" s="6">
        <f t="shared" si="74"/>
        <v>0.99770684522215225</v>
      </c>
      <c r="P84" s="49">
        <f t="shared" si="75"/>
        <v>0.99770684522215225</v>
      </c>
    </row>
    <row r="85" spans="1:16" x14ac:dyDescent="0.25">
      <c r="A85">
        <v>86</v>
      </c>
      <c r="B85" s="45">
        <f>VLOOKUP($A85,'hours (1)'!$A$19:$C$103,3)</f>
        <v>0.99788019238227077</v>
      </c>
      <c r="C85" s="45">
        <f t="shared" ref="C85:F85" si="88">B85</f>
        <v>0.99788019238227077</v>
      </c>
      <c r="D85" s="45">
        <f t="shared" si="88"/>
        <v>0.99788019238227077</v>
      </c>
      <c r="E85" s="45">
        <f t="shared" si="88"/>
        <v>0.99788019238227077</v>
      </c>
      <c r="F85" s="45">
        <f t="shared" si="88"/>
        <v>0.99788019238227077</v>
      </c>
      <c r="G85" s="45">
        <f t="shared" si="71"/>
        <v>0.99788019238227077</v>
      </c>
      <c r="H85" s="51">
        <f t="shared" si="72"/>
        <v>0.99788019238227077</v>
      </c>
      <c r="J85" s="6">
        <f t="shared" si="73"/>
        <v>0.99788019238227077</v>
      </c>
      <c r="K85" s="6">
        <f>VLOOKUP($A85,'Sectors (1)'!$AA$19:$AB$103,2)</f>
        <v>0.99780892596864079</v>
      </c>
      <c r="L85" s="6">
        <f>VLOOKUP($A85,'Sectors (2)'!$AA$19:$AB$103,2)</f>
        <v>0.99780785135796002</v>
      </c>
      <c r="M85" s="6">
        <f>VLOOKUP($A85,'Sectors (3)'!$AA$19:$AB$103,2)</f>
        <v>0.99773291555602028</v>
      </c>
      <c r="N85" s="6">
        <f>VLOOKUP($A85,'Sectors (4)'!$AA$19:$AB$103,2)</f>
        <v>0.99778055414828803</v>
      </c>
      <c r="O85" s="6">
        <f t="shared" si="74"/>
        <v>0.99784175339779613</v>
      </c>
      <c r="P85" s="49">
        <f t="shared" si="75"/>
        <v>0.99784175339779613</v>
      </c>
    </row>
    <row r="86" spans="1:16" x14ac:dyDescent="0.25">
      <c r="A86">
        <v>87</v>
      </c>
      <c r="B86" s="45">
        <f>VLOOKUP($A86,'hours (1)'!$A$19:$C$103,3)</f>
        <v>0.99789680382945622</v>
      </c>
      <c r="C86" s="45">
        <f t="shared" ref="C86:F86" si="89">B86</f>
        <v>0.99789680382945622</v>
      </c>
      <c r="D86" s="45">
        <f t="shared" si="89"/>
        <v>0.99789680382945622</v>
      </c>
      <c r="E86" s="45">
        <f t="shared" si="89"/>
        <v>0.99789680382945622</v>
      </c>
      <c r="F86" s="45">
        <f t="shared" si="89"/>
        <v>0.99789680382945622</v>
      </c>
      <c r="G86" s="45">
        <f t="shared" si="71"/>
        <v>0.99789680382945622</v>
      </c>
      <c r="H86" s="51">
        <f t="shared" si="72"/>
        <v>0.99789680382945622</v>
      </c>
      <c r="J86" s="6">
        <f t="shared" si="73"/>
        <v>0.99789680382945622</v>
      </c>
      <c r="K86" s="6">
        <f>VLOOKUP($A86,'Sectors (1)'!$AA$19:$AB$103,2)</f>
        <v>0.99783845076126121</v>
      </c>
      <c r="L86" s="6">
        <f>VLOOKUP($A86,'Sectors (2)'!$AA$19:$AB$103,2)</f>
        <v>0.99782500848050371</v>
      </c>
      <c r="M86" s="6">
        <f>VLOOKUP($A86,'Sectors (3)'!$AA$19:$AB$103,2)</f>
        <v>0.99775060189735876</v>
      </c>
      <c r="N86" s="6">
        <f>VLOOKUP($A86,'Sectors (4)'!$AA$19:$AB$103,2)</f>
        <v>0.99781040094227602</v>
      </c>
      <c r="O86" s="6">
        <f t="shared" si="74"/>
        <v>0.99786344506213909</v>
      </c>
      <c r="P86" s="49">
        <f t="shared" si="75"/>
        <v>0.99786344506213909</v>
      </c>
    </row>
    <row r="87" spans="1:16" x14ac:dyDescent="0.25">
      <c r="A87">
        <v>88</v>
      </c>
      <c r="B87" s="45">
        <f>VLOOKUP($A87,'hours (1)'!$A$19:$C$103,3)</f>
        <v>0.99789680382945622</v>
      </c>
      <c r="C87" s="45">
        <f t="shared" ref="C87:F87" si="90">B87</f>
        <v>0.99789680382945622</v>
      </c>
      <c r="D87" s="45">
        <f t="shared" si="90"/>
        <v>0.99789680382945622</v>
      </c>
      <c r="E87" s="45">
        <f t="shared" si="90"/>
        <v>0.99789680382945622</v>
      </c>
      <c r="F87" s="45">
        <f t="shared" si="90"/>
        <v>0.99789680382945622</v>
      </c>
      <c r="G87" s="45">
        <f t="shared" si="71"/>
        <v>0.99789680382945622</v>
      </c>
      <c r="H87" s="51">
        <f t="shared" si="72"/>
        <v>0.99789680382945622</v>
      </c>
      <c r="J87" s="6">
        <f t="shared" si="73"/>
        <v>0.99789680382945622</v>
      </c>
      <c r="K87" s="6">
        <f>VLOOKUP($A87,'Sectors (1)'!$AA$19:$AB$103,2)</f>
        <v>0.99785533422085615</v>
      </c>
      <c r="L87" s="6">
        <f>VLOOKUP($A87,'Sectors (2)'!$AA$19:$AB$103,2)</f>
        <v>0.99782500848050371</v>
      </c>
      <c r="M87" s="6">
        <f>VLOOKUP($A87,'Sectors (3)'!$AA$19:$AB$103,2)</f>
        <v>0.99775060189735876</v>
      </c>
      <c r="N87" s="6">
        <f>VLOOKUP($A87,'Sectors (4)'!$AA$19:$AB$103,2)</f>
        <v>0.99782747240666303</v>
      </c>
      <c r="O87" s="6">
        <f t="shared" si="74"/>
        <v>0.99786998835648266</v>
      </c>
      <c r="P87" s="49">
        <f t="shared" si="75"/>
        <v>0.99786998835648266</v>
      </c>
    </row>
    <row r="88" spans="1:16" x14ac:dyDescent="0.25">
      <c r="A88">
        <v>89</v>
      </c>
      <c r="B88" s="45">
        <f>VLOOKUP($A88,'hours (1)'!$A$19:$C$103,3)</f>
        <v>0.99790766566970657</v>
      </c>
      <c r="C88" s="45">
        <f t="shared" ref="C88:F88" si="91">B88</f>
        <v>0.99790766566970657</v>
      </c>
      <c r="D88" s="45">
        <f t="shared" si="91"/>
        <v>0.99790766566970657</v>
      </c>
      <c r="E88" s="45">
        <f t="shared" si="91"/>
        <v>0.99790766566970657</v>
      </c>
      <c r="F88" s="45">
        <f t="shared" si="91"/>
        <v>0.99790766566970657</v>
      </c>
      <c r="G88" s="45">
        <f t="shared" si="71"/>
        <v>0.99790766566970657</v>
      </c>
      <c r="H88" s="51">
        <f t="shared" si="72"/>
        <v>0.99790766566970657</v>
      </c>
      <c r="J88" s="6">
        <f t="shared" si="73"/>
        <v>0.99790766566970657</v>
      </c>
      <c r="K88" s="6">
        <f>VLOOKUP($A88,'Sectors (1)'!$AA$19:$AB$103,2)</f>
        <v>0.99785533422085615</v>
      </c>
      <c r="L88" s="6">
        <f>VLOOKUP($A88,'Sectors (2)'!$AA$19:$AB$103,2)</f>
        <v>0.99783623047056602</v>
      </c>
      <c r="M88" s="6">
        <f>VLOOKUP($A88,'Sectors (3)'!$AA$19:$AB$103,2)</f>
        <v>0.99776217903007458</v>
      </c>
      <c r="N88" s="6">
        <f>VLOOKUP($A88,'Sectors (4)'!$AA$19:$AB$103,2)</f>
        <v>0.99782747240666303</v>
      </c>
      <c r="O88" s="6">
        <f t="shared" si="74"/>
        <v>0.99787669123382194</v>
      </c>
      <c r="P88" s="49">
        <f t="shared" si="75"/>
        <v>0.99787669123382194</v>
      </c>
    </row>
    <row r="89" spans="1:16" x14ac:dyDescent="0.25">
      <c r="A89">
        <v>90</v>
      </c>
      <c r="B89" s="45">
        <f>VLOOKUP($A89,'hours (1)'!$A$19:$C$103,3)</f>
        <v>0.99838977175443477</v>
      </c>
      <c r="C89" s="45">
        <f t="shared" ref="C89:F89" si="92">B89</f>
        <v>0.99838977175443477</v>
      </c>
      <c r="D89" s="45">
        <f t="shared" si="92"/>
        <v>0.99838977175443477</v>
      </c>
      <c r="E89" s="45">
        <f t="shared" si="92"/>
        <v>0.99838977175443477</v>
      </c>
      <c r="F89" s="45">
        <f t="shared" si="92"/>
        <v>0.99838977175443477</v>
      </c>
      <c r="G89" s="45">
        <f t="shared" si="71"/>
        <v>0.99838977175443488</v>
      </c>
      <c r="H89" s="51">
        <f t="shared" si="72"/>
        <v>0.99838977175443488</v>
      </c>
      <c r="J89" s="6">
        <f t="shared" si="73"/>
        <v>0.99838977175443477</v>
      </c>
      <c r="K89" s="6">
        <f>VLOOKUP($A89,'Sectors (1)'!$AA$19:$AB$103,2)</f>
        <v>0.99786638255176385</v>
      </c>
      <c r="L89" s="6">
        <f>VLOOKUP($A89,'Sectors (2)'!$AA$19:$AB$103,2)</f>
        <v>0.99833439333419327</v>
      </c>
      <c r="M89" s="6">
        <f>VLOOKUP($A89,'Sectors (3)'!$AA$19:$AB$103,2)</f>
        <v>0.99827629965867382</v>
      </c>
      <c r="N89" s="6">
        <f>VLOOKUP($A89,'Sectors (4)'!$AA$19:$AB$103,2)</f>
        <v>0.99783864864654637</v>
      </c>
      <c r="O89" s="6">
        <f t="shared" si="74"/>
        <v>0.99817849363248035</v>
      </c>
      <c r="P89" s="49">
        <f t="shared" si="75"/>
        <v>0.99817849363248035</v>
      </c>
    </row>
    <row r="90" spans="1:16" x14ac:dyDescent="0.25">
      <c r="A90">
        <v>91</v>
      </c>
      <c r="B90" s="45">
        <f>VLOOKUP($A90,'hours (1)'!$A$19:$C$103,3)</f>
        <v>0.99845085944498457</v>
      </c>
      <c r="C90" s="45">
        <f t="shared" ref="C90:F90" si="93">B90</f>
        <v>0.99845085944498457</v>
      </c>
      <c r="D90" s="45">
        <f t="shared" si="93"/>
        <v>0.99845085944498457</v>
      </c>
      <c r="E90" s="45">
        <f t="shared" si="93"/>
        <v>0.99845085944498457</v>
      </c>
      <c r="F90" s="45">
        <f t="shared" si="93"/>
        <v>0.99845085944498457</v>
      </c>
      <c r="G90" s="45">
        <f t="shared" si="71"/>
        <v>0.99845085944498457</v>
      </c>
      <c r="H90" s="51">
        <f t="shared" si="72"/>
        <v>0.99845085944498457</v>
      </c>
      <c r="J90" s="6">
        <f t="shared" si="73"/>
        <v>0.99845085944498457</v>
      </c>
      <c r="K90" s="6">
        <f>VLOOKUP($A90,'Sectors (1)'!$AA$19:$AB$103,2)</f>
        <v>0.9983569507737029</v>
      </c>
      <c r="L90" s="6">
        <f>VLOOKUP($A90,'Sectors (2)'!$AA$19:$AB$103,2)</f>
        <v>0.99839752440326135</v>
      </c>
      <c r="M90" s="6">
        <f>VLOOKUP($A90,'Sectors (3)'!$AA$19:$AB$103,2)</f>
        <v>0.99834147681589147</v>
      </c>
      <c r="N90" s="6">
        <f>VLOOKUP($A90,'Sectors (4)'!$AA$19:$AB$103,2)</f>
        <v>0.99833500071771397</v>
      </c>
      <c r="O90" s="6">
        <f t="shared" si="74"/>
        <v>0.99840636815529105</v>
      </c>
      <c r="P90" s="49">
        <f t="shared" si="75"/>
        <v>0.99840636815529105</v>
      </c>
    </row>
    <row r="91" spans="1:16" x14ac:dyDescent="0.25">
      <c r="A91">
        <v>92</v>
      </c>
      <c r="B91" s="45">
        <f>VLOOKUP($A91,'hours (1)'!$A$19:$C$103,3)</f>
        <v>0.99845085944498457</v>
      </c>
      <c r="C91" s="45">
        <f t="shared" ref="C91:F91" si="94">B91</f>
        <v>0.99845085944498457</v>
      </c>
      <c r="D91" s="45">
        <f t="shared" si="94"/>
        <v>0.99845085944498457</v>
      </c>
      <c r="E91" s="45">
        <f t="shared" si="94"/>
        <v>0.99845085944498457</v>
      </c>
      <c r="F91" s="45">
        <f t="shared" si="94"/>
        <v>0.99845085944498457</v>
      </c>
      <c r="G91" s="45">
        <f t="shared" si="71"/>
        <v>0.99845085944498457</v>
      </c>
      <c r="H91" s="51">
        <f t="shared" si="72"/>
        <v>0.99845085944498457</v>
      </c>
      <c r="J91" s="6">
        <f t="shared" si="73"/>
        <v>0.99845085944498457</v>
      </c>
      <c r="K91" s="6">
        <f>VLOOKUP($A91,'Sectors (1)'!$AA$19:$AB$103,2)</f>
        <v>0.99841913355813061</v>
      </c>
      <c r="L91" s="6">
        <f>VLOOKUP($A91,'Sectors (2)'!$AA$19:$AB$103,2)</f>
        <v>0.99839752440326135</v>
      </c>
      <c r="M91" s="6">
        <f>VLOOKUP($A91,'Sectors (3)'!$AA$19:$AB$103,2)</f>
        <v>0.99834147681589147</v>
      </c>
      <c r="N91" s="6">
        <f>VLOOKUP($A91,'Sectors (4)'!$AA$19:$AB$103,2)</f>
        <v>0.99839792956484752</v>
      </c>
      <c r="O91" s="6">
        <f t="shared" si="74"/>
        <v>0.99843047611002389</v>
      </c>
      <c r="P91" s="49">
        <f t="shared" si="75"/>
        <v>0.99843047611002389</v>
      </c>
    </row>
    <row r="92" spans="1:16" x14ac:dyDescent="0.25">
      <c r="A92">
        <v>93</v>
      </c>
      <c r="B92" s="45">
        <f>VLOOKUP($A92,'hours (1)'!$A$19:$C$103,3)</f>
        <v>0.99845085944498457</v>
      </c>
      <c r="C92" s="45">
        <f t="shared" ref="C92:F92" si="95">B92</f>
        <v>0.99845085944498457</v>
      </c>
      <c r="D92" s="45">
        <f t="shared" si="95"/>
        <v>0.99845085944498457</v>
      </c>
      <c r="E92" s="45">
        <f t="shared" si="95"/>
        <v>0.99845085944498457</v>
      </c>
      <c r="F92" s="45">
        <f t="shared" si="95"/>
        <v>0.99845085944498457</v>
      </c>
      <c r="G92" s="45">
        <f t="shared" si="71"/>
        <v>0.99845085944498457</v>
      </c>
      <c r="H92" s="51">
        <f t="shared" si="72"/>
        <v>0.99845085944498457</v>
      </c>
      <c r="J92" s="6">
        <f t="shared" si="73"/>
        <v>0.99845085944498457</v>
      </c>
      <c r="K92" s="6">
        <f>VLOOKUP($A92,'Sectors (1)'!$AA$19:$AB$103,2)</f>
        <v>0.99841913355813061</v>
      </c>
      <c r="L92" s="6">
        <f>VLOOKUP($A92,'Sectors (2)'!$AA$19:$AB$103,2)</f>
        <v>0.99839752440326135</v>
      </c>
      <c r="M92" s="6">
        <f>VLOOKUP($A92,'Sectors (3)'!$AA$19:$AB$103,2)</f>
        <v>0.99834147681589147</v>
      </c>
      <c r="N92" s="6">
        <f>VLOOKUP($A92,'Sectors (4)'!$AA$19:$AB$103,2)</f>
        <v>0.99839792956484752</v>
      </c>
      <c r="O92" s="6">
        <f t="shared" si="74"/>
        <v>0.99843047611002389</v>
      </c>
      <c r="P92" s="49">
        <f t="shared" si="75"/>
        <v>0.99843047611002389</v>
      </c>
    </row>
    <row r="93" spans="1:16" x14ac:dyDescent="0.25">
      <c r="A93">
        <v>94</v>
      </c>
      <c r="B93" s="45">
        <f>VLOOKUP($A93,'hours (1)'!$A$19:$C$103,3)</f>
        <v>0.99846435628069563</v>
      </c>
      <c r="C93" s="45">
        <f t="shared" ref="C93:F93" si="96">B93</f>
        <v>0.99846435628069563</v>
      </c>
      <c r="D93" s="45">
        <f t="shared" si="96"/>
        <v>0.99846435628069563</v>
      </c>
      <c r="E93" s="45">
        <f t="shared" si="96"/>
        <v>0.99846435628069563</v>
      </c>
      <c r="F93" s="45">
        <f t="shared" si="96"/>
        <v>0.99846435628069563</v>
      </c>
      <c r="G93" s="45">
        <f t="shared" si="71"/>
        <v>0.99846435628069563</v>
      </c>
      <c r="H93" s="51">
        <f t="shared" si="72"/>
        <v>0.99846435628069563</v>
      </c>
      <c r="J93" s="6">
        <f t="shared" si="73"/>
        <v>0.99846435628069563</v>
      </c>
      <c r="K93" s="6">
        <f>VLOOKUP($A93,'Sectors (1)'!$AA$19:$AB$103,2)</f>
        <v>0.99841913355813061</v>
      </c>
      <c r="L93" s="6">
        <f>VLOOKUP($A93,'Sectors (2)'!$AA$19:$AB$103,2)</f>
        <v>0.99841147827304932</v>
      </c>
      <c r="M93" s="6">
        <f>VLOOKUP($A93,'Sectors (3)'!$AA$19:$AB$103,2)</f>
        <v>0.99835589798109281</v>
      </c>
      <c r="N93" s="6">
        <f>VLOOKUP($A93,'Sectors (4)'!$AA$19:$AB$103,2)</f>
        <v>0.99839792956484752</v>
      </c>
      <c r="O93" s="6">
        <f t="shared" si="74"/>
        <v>0.99843880645448002</v>
      </c>
      <c r="P93" s="49">
        <f t="shared" si="75"/>
        <v>0.99843880645448002</v>
      </c>
    </row>
    <row r="94" spans="1:16" x14ac:dyDescent="0.25">
      <c r="A94">
        <v>95</v>
      </c>
      <c r="B94" s="45">
        <f>VLOOKUP($A94,'hours (1)'!$A$19:$C$103,3)</f>
        <v>0.99849966585125238</v>
      </c>
      <c r="C94" s="45">
        <f t="shared" ref="C94:F94" si="97">B94</f>
        <v>0.99849966585125238</v>
      </c>
      <c r="D94" s="45">
        <f t="shared" si="97"/>
        <v>0.99849966585125238</v>
      </c>
      <c r="E94" s="45">
        <f t="shared" si="97"/>
        <v>0.99849966585125238</v>
      </c>
      <c r="F94" s="45">
        <f t="shared" si="97"/>
        <v>0.99849966585125238</v>
      </c>
      <c r="G94" s="45">
        <f t="shared" si="71"/>
        <v>0.99849966585125238</v>
      </c>
      <c r="H94" s="51">
        <f t="shared" si="72"/>
        <v>0.99849966585125238</v>
      </c>
      <c r="J94" s="6">
        <f t="shared" si="73"/>
        <v>0.99849966585125238</v>
      </c>
      <c r="K94" s="6">
        <f>VLOOKUP($A94,'Sectors (1)'!$AA$19:$AB$103,2)</f>
        <v>0.99843288681214926</v>
      </c>
      <c r="L94" s="6">
        <f>VLOOKUP($A94,'Sectors (2)'!$AA$19:$AB$103,2)</f>
        <v>0.99844798812962976</v>
      </c>
      <c r="M94" s="6">
        <f>VLOOKUP($A94,'Sectors (3)'!$AA$19:$AB$103,2)</f>
        <v>0.99839364302487987</v>
      </c>
      <c r="N94" s="6">
        <f>VLOOKUP($A94,'Sectors (4)'!$AA$19:$AB$103,2)</f>
        <v>0.99841185600738003</v>
      </c>
      <c r="O94" s="6">
        <f t="shared" si="74"/>
        <v>0.99846593384083759</v>
      </c>
      <c r="P94" s="49">
        <f t="shared" si="75"/>
        <v>0.99846593384083759</v>
      </c>
    </row>
    <row r="95" spans="1:16" x14ac:dyDescent="0.25">
      <c r="A95">
        <v>96</v>
      </c>
      <c r="B95" s="45">
        <f>VLOOKUP($A95,'hours (1)'!$A$19:$C$103,3)</f>
        <v>0.9986575738881347</v>
      </c>
      <c r="C95" s="45">
        <f t="shared" ref="C95:F95" si="98">B95</f>
        <v>0.9986575738881347</v>
      </c>
      <c r="D95" s="45">
        <f t="shared" si="98"/>
        <v>0.9986575738881347</v>
      </c>
      <c r="E95" s="45">
        <f t="shared" si="98"/>
        <v>0.9986575738881347</v>
      </c>
      <c r="F95" s="45">
        <f t="shared" si="98"/>
        <v>0.9986575738881347</v>
      </c>
      <c r="G95" s="45">
        <f t="shared" si="71"/>
        <v>0.99865757388813481</v>
      </c>
      <c r="H95" s="51">
        <f t="shared" si="72"/>
        <v>0.99865757388813481</v>
      </c>
      <c r="J95" s="6">
        <f t="shared" si="73"/>
        <v>0.9986575738881347</v>
      </c>
      <c r="K95" s="6">
        <f>VLOOKUP($A95,'Sectors (1)'!$AA$19:$AB$103,2)</f>
        <v>0.99846887926052719</v>
      </c>
      <c r="L95" s="6">
        <f>VLOOKUP($A95,'Sectors (2)'!$AA$19:$AB$103,2)</f>
        <v>0.99861128415338718</v>
      </c>
      <c r="M95" s="6">
        <f>VLOOKUP($A95,'Sectors (3)'!$AA$19:$AB$103,2)</f>
        <v>0.99856251836235566</v>
      </c>
      <c r="N95" s="6">
        <f>VLOOKUP($A95,'Sectors (4)'!$AA$19:$AB$103,2)</f>
        <v>0.99844830850161526</v>
      </c>
      <c r="O95" s="6">
        <f t="shared" si="74"/>
        <v>0.99857736048518786</v>
      </c>
      <c r="P95" s="49">
        <f t="shared" si="75"/>
        <v>0.99857736048518786</v>
      </c>
    </row>
    <row r="96" spans="1:16" x14ac:dyDescent="0.25">
      <c r="A96">
        <v>97</v>
      </c>
      <c r="B96" s="45">
        <f>VLOOKUP($A96,'hours (1)'!$A$19:$C$103,3)</f>
        <v>0.9986575738881347</v>
      </c>
      <c r="C96" s="45">
        <f t="shared" ref="C96:F96" si="99">B96</f>
        <v>0.9986575738881347</v>
      </c>
      <c r="D96" s="45">
        <f t="shared" si="99"/>
        <v>0.9986575738881347</v>
      </c>
      <c r="E96" s="45">
        <f t="shared" si="99"/>
        <v>0.9986575738881347</v>
      </c>
      <c r="F96" s="45">
        <f t="shared" si="99"/>
        <v>0.9986575738881347</v>
      </c>
      <c r="G96" s="45">
        <f t="shared" si="71"/>
        <v>0.99865757388813481</v>
      </c>
      <c r="H96" s="51">
        <f t="shared" si="72"/>
        <v>0.99865757388813481</v>
      </c>
      <c r="J96" s="6">
        <f t="shared" si="73"/>
        <v>0.9986575738881347</v>
      </c>
      <c r="K96" s="6">
        <f>VLOOKUP($A96,'Sectors (1)'!$AA$19:$AB$103,2)</f>
        <v>0.99862989390836665</v>
      </c>
      <c r="L96" s="6">
        <f>VLOOKUP($A96,'Sectors (2)'!$AA$19:$AB$103,2)</f>
        <v>0.99861128415338718</v>
      </c>
      <c r="M96" s="6">
        <f>VLOOKUP($A96,'Sectors (3)'!$AA$19:$AB$103,2)</f>
        <v>0.99856251836235566</v>
      </c>
      <c r="N96" s="6">
        <f>VLOOKUP($A96,'Sectors (4)'!$AA$19:$AB$103,2)</f>
        <v>0.9986114109710742</v>
      </c>
      <c r="O96" s="6">
        <f t="shared" si="74"/>
        <v>0.99863981011073499</v>
      </c>
      <c r="P96" s="49">
        <f t="shared" si="75"/>
        <v>0.99863981011073499</v>
      </c>
    </row>
    <row r="97" spans="1:16" x14ac:dyDescent="0.25">
      <c r="A97">
        <v>98</v>
      </c>
      <c r="B97" s="45">
        <f>VLOOKUP($A97,'hours (1)'!$A$19:$C$103,3)</f>
        <v>0.99871275358276035</v>
      </c>
      <c r="C97" s="45">
        <f t="shared" ref="C97:F97" si="100">B97</f>
        <v>0.99871275358276035</v>
      </c>
      <c r="D97" s="45">
        <f t="shared" si="100"/>
        <v>0.99871275358276035</v>
      </c>
      <c r="E97" s="45">
        <f t="shared" si="100"/>
        <v>0.99871275358276035</v>
      </c>
      <c r="F97" s="45">
        <f t="shared" si="100"/>
        <v>0.99871275358276035</v>
      </c>
      <c r="G97" s="45">
        <f t="shared" si="71"/>
        <v>0.99871275358276046</v>
      </c>
      <c r="H97" s="51">
        <f t="shared" si="72"/>
        <v>0.99871275358276046</v>
      </c>
      <c r="J97" s="6">
        <f t="shared" si="73"/>
        <v>0.99871275358276035</v>
      </c>
      <c r="K97" s="6">
        <f>VLOOKUP($A97,'Sectors (1)'!$AA$19:$AB$103,2)</f>
        <v>0.99862989390836665</v>
      </c>
      <c r="L97" s="6">
        <f>VLOOKUP($A97,'Sectors (2)'!$AA$19:$AB$103,2)</f>
        <v>0.99866836025577843</v>
      </c>
      <c r="M97" s="6">
        <f>VLOOKUP($A97,'Sectors (3)'!$AA$19:$AB$103,2)</f>
        <v>0.99862158157690917</v>
      </c>
      <c r="N97" s="6">
        <f>VLOOKUP($A97,'Sectors (4)'!$AA$19:$AB$103,2)</f>
        <v>0.9986114109710742</v>
      </c>
      <c r="O97" s="6">
        <f t="shared" si="74"/>
        <v>0.9986738715441692</v>
      </c>
      <c r="P97" s="49">
        <f t="shared" si="75"/>
        <v>0.9986738715441692</v>
      </c>
    </row>
    <row r="98" spans="1:16" x14ac:dyDescent="0.25">
      <c r="A98">
        <v>99</v>
      </c>
      <c r="B98" s="45">
        <f>VLOOKUP($A98,'hours (1)'!$A$19:$C$103,3)</f>
        <v>1</v>
      </c>
      <c r="C98" s="45">
        <f t="shared" ref="C98:F98" si="101">B98</f>
        <v>1</v>
      </c>
      <c r="D98" s="45">
        <f t="shared" si="101"/>
        <v>1</v>
      </c>
      <c r="E98" s="45">
        <f t="shared" si="101"/>
        <v>1</v>
      </c>
      <c r="F98" s="45">
        <f t="shared" si="101"/>
        <v>1</v>
      </c>
      <c r="G98" s="45">
        <f t="shared" si="71"/>
        <v>1</v>
      </c>
      <c r="H98" s="51">
        <f t="shared" si="72"/>
        <v>1</v>
      </c>
      <c r="J98" s="6">
        <f t="shared" si="73"/>
        <v>1</v>
      </c>
      <c r="K98" s="6">
        <f>VLOOKUP($A98,'Sectors (1)'!$AA$19:$AB$103,2)</f>
        <v>0.99868619482990906</v>
      </c>
      <c r="L98" s="6">
        <f>VLOOKUP($A98,'Sectors (2)'!$AA$19:$AB$103,2)</f>
        <v>1.0000000000000004</v>
      </c>
      <c r="M98" s="6">
        <f>VLOOKUP($A98,'Sectors (3)'!$AA$19:$AB$103,2)</f>
        <v>0.99999999999999956</v>
      </c>
      <c r="N98" s="6">
        <f>VLOOKUP($A98,'Sectors (4)'!$AA$19:$AB$103,2)</f>
        <v>0.99866846206218185</v>
      </c>
      <c r="O98" s="6">
        <f t="shared" si="74"/>
        <v>0.99949032793807102</v>
      </c>
      <c r="P98" s="49">
        <f t="shared" si="75"/>
        <v>0.99949032793807102</v>
      </c>
    </row>
    <row r="99" spans="1:16" x14ac:dyDescent="0.25">
      <c r="A99">
        <v>100</v>
      </c>
      <c r="B99" s="45">
        <f>VLOOKUP($A99,'hours (1)'!$A$19:$C$103,3)</f>
        <v>1</v>
      </c>
      <c r="C99" s="45">
        <f t="shared" ref="C99:F99" si="102">B99</f>
        <v>1</v>
      </c>
      <c r="D99" s="45">
        <f t="shared" si="102"/>
        <v>1</v>
      </c>
      <c r="E99" s="45">
        <f t="shared" si="102"/>
        <v>1</v>
      </c>
      <c r="F99" s="45">
        <f t="shared" si="102"/>
        <v>1</v>
      </c>
      <c r="G99" s="45">
        <f t="shared" si="71"/>
        <v>1</v>
      </c>
      <c r="H99" s="51">
        <f t="shared" si="72"/>
        <v>1</v>
      </c>
      <c r="J99" s="6">
        <f t="shared" si="73"/>
        <v>1</v>
      </c>
      <c r="K99" s="6">
        <f>VLOOKUP($A99,'Sectors (1)'!$AA$19:$AB$103,2)</f>
        <v>1</v>
      </c>
      <c r="L99" s="6">
        <f>VLOOKUP($A99,'Sectors (2)'!$AA$19:$AB$103,2)</f>
        <v>1.0000000000000004</v>
      </c>
      <c r="M99" s="6">
        <f>VLOOKUP($A99,'Sectors (3)'!$AA$19:$AB$103,2)</f>
        <v>0.99999999999999956</v>
      </c>
      <c r="N99" s="6">
        <f>VLOOKUP($A99,'Sectors (4)'!$AA$19:$AB$103,2)</f>
        <v>1.0000000000000004</v>
      </c>
      <c r="O99" s="6">
        <f t="shared" si="74"/>
        <v>1</v>
      </c>
      <c r="P99" s="49">
        <f t="shared" si="75"/>
        <v>1</v>
      </c>
    </row>
    <row r="100" spans="1:16" x14ac:dyDescent="0.25">
      <c r="A100">
        <v>101</v>
      </c>
      <c r="B100" s="45">
        <f>VLOOKUP($A100,'hours (1)'!$A$19:$C$103,3)</f>
        <v>1</v>
      </c>
      <c r="C100" s="45">
        <f t="shared" ref="C100:F100" si="103">B100</f>
        <v>1</v>
      </c>
      <c r="D100" s="45">
        <f t="shared" si="103"/>
        <v>1</v>
      </c>
      <c r="E100" s="45">
        <f t="shared" si="103"/>
        <v>1</v>
      </c>
      <c r="F100" s="45">
        <f t="shared" si="103"/>
        <v>1</v>
      </c>
      <c r="G100" s="45">
        <f t="shared" si="71"/>
        <v>1</v>
      </c>
      <c r="H100" s="51">
        <f t="shared" si="72"/>
        <v>1</v>
      </c>
      <c r="J100" s="6">
        <f t="shared" si="73"/>
        <v>1</v>
      </c>
      <c r="K100" s="6">
        <f>VLOOKUP($A100,'Sectors (1)'!$AA$19:$AB$103,2)</f>
        <v>1</v>
      </c>
      <c r="L100" s="6">
        <f>VLOOKUP($A100,'Sectors (2)'!$AA$19:$AB$103,2)</f>
        <v>1.0000000000000004</v>
      </c>
      <c r="M100" s="6">
        <f>VLOOKUP($A100,'Sectors (3)'!$AA$19:$AB$103,2)</f>
        <v>0.99999999999999956</v>
      </c>
      <c r="N100" s="6">
        <f>VLOOKUP($A100,'Sectors (4)'!$AA$19:$AB$103,2)</f>
        <v>1.0000000000000004</v>
      </c>
      <c r="O100" s="6">
        <f t="shared" si="74"/>
        <v>1</v>
      </c>
      <c r="P100" s="49">
        <f t="shared" si="75"/>
        <v>1</v>
      </c>
    </row>
    <row r="101" spans="1:16" x14ac:dyDescent="0.25">
      <c r="A101">
        <v>102</v>
      </c>
      <c r="B101" s="45">
        <f>VLOOKUP($A101,'hours (1)'!$A$19:$C$103,3)</f>
        <v>1</v>
      </c>
      <c r="C101" s="45">
        <f t="shared" ref="C101:F101" si="104">B101</f>
        <v>1</v>
      </c>
      <c r="D101" s="45">
        <f t="shared" si="104"/>
        <v>1</v>
      </c>
      <c r="E101" s="45">
        <f t="shared" si="104"/>
        <v>1</v>
      </c>
      <c r="F101" s="45">
        <f t="shared" si="104"/>
        <v>1</v>
      </c>
      <c r="G101" s="45">
        <f t="shared" si="71"/>
        <v>1</v>
      </c>
      <c r="H101" s="51">
        <f t="shared" si="72"/>
        <v>1</v>
      </c>
      <c r="J101" s="6">
        <f t="shared" si="73"/>
        <v>1</v>
      </c>
      <c r="K101" s="6">
        <f>VLOOKUP($A101,'Sectors (1)'!$AA$19:$AB$103,2)</f>
        <v>1</v>
      </c>
      <c r="L101" s="6">
        <f>VLOOKUP($A101,'Sectors (2)'!$AA$19:$AB$103,2)</f>
        <v>1.0000000000000004</v>
      </c>
      <c r="M101" s="6">
        <f>VLOOKUP($A101,'Sectors (3)'!$AA$19:$AB$103,2)</f>
        <v>0.99999999999999956</v>
      </c>
      <c r="N101" s="6">
        <f>VLOOKUP($A101,'Sectors (4)'!$AA$19:$AB$103,2)</f>
        <v>1.0000000000000004</v>
      </c>
      <c r="O101" s="6">
        <f t="shared" si="74"/>
        <v>1</v>
      </c>
      <c r="P101" s="49">
        <f t="shared" si="75"/>
        <v>1</v>
      </c>
    </row>
    <row r="105" spans="1:16" x14ac:dyDescent="0.25">
      <c r="A105" t="str">
        <f>$A$1&amp;": "&amp;ParametersTax!$D$4</f>
        <v>Hours CDFs: Entire economy</v>
      </c>
    </row>
  </sheetData>
  <mergeCells count="2">
    <mergeCell ref="B4:H4"/>
    <mergeCell ref="J4:P4"/>
  </mergeCells>
  <pageMargins left="0.75" right="0.75" top="1" bottom="1" header="0.5" footer="0.5"/>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6"/>
  <sheetViews>
    <sheetView zoomScale="125" zoomScaleNormal="125" zoomScalePageLayoutView="125" workbookViewId="0"/>
  </sheetViews>
  <sheetFormatPr defaultColWidth="11" defaultRowHeight="15.75" x14ac:dyDescent="0.25"/>
  <cols>
    <col min="1" max="1" width="32.375" bestFit="1" customWidth="1"/>
    <col min="2" max="2" width="11.375" customWidth="1"/>
    <col min="5" max="7" width="7.125" customWidth="1"/>
  </cols>
  <sheetData>
    <row r="1" spans="1:19" x14ac:dyDescent="0.25">
      <c r="A1" s="5" t="str">
        <f>"Desired hours: "&amp;VLOOKUP($C$1,ParametersTax!$B$16:$G$20,6)&amp;" group"</f>
        <v>Desired hours: Penalty, no subsidy group</v>
      </c>
      <c r="C1" s="2">
        <v>1</v>
      </c>
    </row>
    <row r="3" spans="1:19" x14ac:dyDescent="0.25">
      <c r="A3" s="1" t="s">
        <v>0</v>
      </c>
    </row>
    <row r="4" spans="1:19" x14ac:dyDescent="0.25">
      <c r="A4" t="s">
        <v>2</v>
      </c>
      <c r="B4" s="9">
        <f>ParametersOther!$B$4</f>
        <v>9.4905032911790893E-2</v>
      </c>
    </row>
    <row r="5" spans="1:19" x14ac:dyDescent="0.25">
      <c r="A5" t="s">
        <v>1</v>
      </c>
      <c r="B5" s="9">
        <f>ParametersOther!$B$5</f>
        <v>0.25</v>
      </c>
    </row>
    <row r="6" spans="1:19" x14ac:dyDescent="0.25">
      <c r="A6" t="s">
        <v>27</v>
      </c>
      <c r="B6" s="9">
        <f>ParametersOther!B6</f>
        <v>0.5</v>
      </c>
    </row>
    <row r="7" spans="1:19" x14ac:dyDescent="0.25">
      <c r="B7" s="7"/>
    </row>
    <row r="8" spans="1:19" x14ac:dyDescent="0.25">
      <c r="B8" s="9"/>
    </row>
    <row r="9" spans="1:19" x14ac:dyDescent="0.25">
      <c r="A9" t="s">
        <v>3</v>
      </c>
      <c r="B9" s="7">
        <f>SUMPRODUCT($A$46:$A$103,$B$46:$B$103)/SUM($B$46:$B$103)</f>
        <v>43.288296761716524</v>
      </c>
    </row>
    <row r="10" spans="1:19" x14ac:dyDescent="0.25">
      <c r="A10" t="s">
        <v>17</v>
      </c>
      <c r="B10" s="7">
        <f>SUMPRODUCT($A$19:$A$45,$B$19:$B$45)/SUM($B$19:$B$45)</f>
        <v>22.693124757509004</v>
      </c>
    </row>
    <row r="11" spans="1:19" x14ac:dyDescent="0.25">
      <c r="A11" t="s">
        <v>6</v>
      </c>
      <c r="B11" s="7">
        <f>ParametersOther!B16</f>
        <v>4.1410920000000004</v>
      </c>
    </row>
    <row r="12" spans="1:19" x14ac:dyDescent="0.25">
      <c r="A12" t="s">
        <v>67</v>
      </c>
      <c r="B12" s="14">
        <f>VLOOKUP($C$1,ParametersTax!$B$16:$E$20,3)</f>
        <v>0</v>
      </c>
    </row>
    <row r="13" spans="1:19" x14ac:dyDescent="0.25">
      <c r="A13" t="s">
        <v>39</v>
      </c>
      <c r="B13" s="7">
        <f>VLOOKUP($C$1,ParametersTax!$B$16:$E$20,2)</f>
        <v>4.2</v>
      </c>
    </row>
    <row r="14" spans="1:19" x14ac:dyDescent="0.25">
      <c r="A14" t="s">
        <v>9</v>
      </c>
      <c r="B14" s="7">
        <f>ParametersOther!$B$11</f>
        <v>29</v>
      </c>
    </row>
    <row r="15" spans="1:19" x14ac:dyDescent="0.25">
      <c r="A15" t="s">
        <v>13</v>
      </c>
      <c r="B15" s="7">
        <f>ParametersOther!B17</f>
        <v>34.999000000000002</v>
      </c>
    </row>
    <row r="16" spans="1:19" x14ac:dyDescent="0.25">
      <c r="A16" t="s">
        <v>68</v>
      </c>
      <c r="B16" s="14">
        <f>ParametersOther!$B$21</f>
        <v>0.25</v>
      </c>
      <c r="N16" s="6">
        <f>SUMPRODUCT(N$19:N$103,$O$19:$O$103)/$B$105</f>
        <v>0.77081948799975419</v>
      </c>
      <c r="P16" s="95" t="s">
        <v>191</v>
      </c>
      <c r="Q16" s="95"/>
      <c r="R16" s="95"/>
      <c r="S16" s="95"/>
    </row>
    <row r="17" spans="1:19" x14ac:dyDescent="0.25">
      <c r="B17" s="7"/>
      <c r="C17" t="s">
        <v>21</v>
      </c>
      <c r="F17" s="95" t="s">
        <v>70</v>
      </c>
      <c r="G17" s="95"/>
      <c r="H17" s="95" t="s">
        <v>41</v>
      </c>
      <c r="I17" s="95"/>
      <c r="M17" s="6">
        <f>SUMPRODUCT(M$19:M$103,$B$19:$B$103)/$B$105</f>
        <v>0.82843963962161182</v>
      </c>
      <c r="N17" s="6">
        <f>SUMPRODUCT(N$19:N$103,$B$19:$B$103)/$B$105</f>
        <v>0.78501320235329231</v>
      </c>
      <c r="Q17" s="95" t="s">
        <v>188</v>
      </c>
      <c r="R17" s="95"/>
    </row>
    <row r="18" spans="1:19" x14ac:dyDescent="0.25">
      <c r="A18" s="10" t="s">
        <v>4</v>
      </c>
      <c r="B18" s="10" t="s">
        <v>134</v>
      </c>
      <c r="C18" s="10" t="s">
        <v>22</v>
      </c>
      <c r="D18" s="10" t="s">
        <v>23</v>
      </c>
      <c r="E18" s="10" t="s">
        <v>8</v>
      </c>
      <c r="F18" s="10" t="s">
        <v>71</v>
      </c>
      <c r="G18" s="10" t="s">
        <v>72</v>
      </c>
      <c r="H18" s="10" t="s">
        <v>73</v>
      </c>
      <c r="I18" s="10" t="s">
        <v>10</v>
      </c>
      <c r="J18" s="10" t="s">
        <v>74</v>
      </c>
      <c r="K18" s="10" t="s">
        <v>11</v>
      </c>
      <c r="L18" s="11" t="s">
        <v>12</v>
      </c>
      <c r="M18" s="10" t="s">
        <v>15</v>
      </c>
      <c r="N18" s="10" t="s">
        <v>14</v>
      </c>
      <c r="O18" s="11" t="s">
        <v>16</v>
      </c>
      <c r="P18" s="10" t="s">
        <v>189</v>
      </c>
      <c r="Q18" s="11" t="s">
        <v>190</v>
      </c>
      <c r="R18" s="11" t="s">
        <v>192</v>
      </c>
      <c r="S18" s="10" t="s">
        <v>186</v>
      </c>
    </row>
    <row r="19" spans="1:19" x14ac:dyDescent="0.25">
      <c r="A19" s="2">
        <v>8</v>
      </c>
      <c r="B19" s="32">
        <v>576349.6</v>
      </c>
      <c r="C19" s="6">
        <f>B19/$B$105</f>
        <v>4.231363238139366E-3</v>
      </c>
      <c r="D19" s="6">
        <v>0</v>
      </c>
      <c r="E19" s="9">
        <f>$A19-$B$5*((1-$B$16)*$B$4*$B$9+$B$11)</f>
        <v>6.1944250195876105</v>
      </c>
      <c r="F19" s="7">
        <f t="shared" ref="F19:F50" si="0">$A19-$B$5*$B$12*$B$4*$B$9</f>
        <v>8</v>
      </c>
      <c r="G19" s="7">
        <f>F19+$B$5*$B$13*(1-$B$16-$B$12)</f>
        <v>8.7874999999999996</v>
      </c>
      <c r="H19" s="7">
        <f>($E19/G19-1+LN(G19/$E19))/$B$5+($B$13+$B$4*$B$9)*(1-$B$16-$B$12)/G19+$B$11/G19</f>
        <v>1.3987222399560753</v>
      </c>
      <c r="I19" s="7">
        <f>($E19/$B$14-1+LN($B$14/$E19))/$B$5+$B$4*$B$9*(1-$B$16-$B$12)/$B$14+$B$11/$B$14</f>
        <v>3.2780328072169067</v>
      </c>
      <c r="J19" t="b">
        <f t="shared" ref="J19:J50" si="1">F19&lt;=$B$14</f>
        <v>1</v>
      </c>
      <c r="K19" s="7">
        <f t="shared" ref="K19:K50" si="2">IF(J19,F19,IF(H19&lt;I19,G19,$B$14))</f>
        <v>8</v>
      </c>
      <c r="L19" s="7">
        <f>K19-$A19</f>
        <v>0</v>
      </c>
      <c r="M19">
        <f t="shared" ref="M19:M50" si="3">IF($A19&gt;$B$15,1,0)</f>
        <v>0</v>
      </c>
      <c r="N19">
        <f t="shared" ref="N19:N50" si="4">IF($K19&gt;$B$15,1,0)</f>
        <v>0</v>
      </c>
      <c r="O19" s="3">
        <f>$B19*$A19/$K19</f>
        <v>576349.6</v>
      </c>
      <c r="P19" s="36">
        <v>0.65945741368532951</v>
      </c>
      <c r="Q19" s="36">
        <v>6.2070699999999999E-2</v>
      </c>
      <c r="R19" s="36">
        <v>0.37337480000000001</v>
      </c>
      <c r="S19" s="36">
        <v>0.12937589999999999</v>
      </c>
    </row>
    <row r="20" spans="1:19" x14ac:dyDescent="0.25">
      <c r="A20" s="2">
        <v>9</v>
      </c>
      <c r="B20" s="32">
        <v>69603.850000000006</v>
      </c>
      <c r="C20" s="6">
        <f t="shared" ref="C20:C51" si="5">B20/$B$105+C19</f>
        <v>4.7423710919193753E-3</v>
      </c>
      <c r="D20" s="6">
        <f>$A19*$B19/$A$105+D19</f>
        <v>8.5148840514222583E-4</v>
      </c>
      <c r="E20" s="9">
        <f t="shared" ref="E20:E83" si="6">$A20-$B$5*((1-$B$16)*$B$4*$B$9+$B$11)</f>
        <v>7.1944250195876105</v>
      </c>
      <c r="F20" s="7">
        <f t="shared" si="0"/>
        <v>9</v>
      </c>
      <c r="G20" s="7">
        <f t="shared" ref="G20:G83" si="7">F20+$B$5*$B$13*(1-$B$16-$B$12)</f>
        <v>9.7874999999999996</v>
      </c>
      <c r="H20" s="7">
        <f t="shared" ref="H20:H83" si="8">($E20/G20-1+LN(G20/$E20))/$B$5+($B$13+$B$4*$B$9)*(1-$B$16-$B$12)/G20+$B$11/G20</f>
        <v>1.2311985522289568</v>
      </c>
      <c r="I20" s="7">
        <f t="shared" ref="I20:I83" si="9">($E20/$B$14-1+LN($B$14/$E20))/$B$5+$B$4*$B$9*(1-$B$16-$B$12)/$B$14+$B$11/$B$14</f>
        <v>2.8173369372519943</v>
      </c>
      <c r="J20" t="b">
        <f t="shared" si="1"/>
        <v>1</v>
      </c>
      <c r="K20" s="7">
        <f t="shared" si="2"/>
        <v>9</v>
      </c>
      <c r="L20" s="7">
        <f t="shared" ref="L20:L83" si="10">K20-$A20</f>
        <v>0</v>
      </c>
      <c r="M20">
        <f t="shared" si="3"/>
        <v>0</v>
      </c>
      <c r="N20">
        <f t="shared" si="4"/>
        <v>0</v>
      </c>
      <c r="O20" s="3">
        <f t="shared" ref="O20:O83" si="11">$B20*$A20/$K20</f>
        <v>69603.850000000006</v>
      </c>
      <c r="P20" s="36">
        <v>0.61809764833410796</v>
      </c>
      <c r="Q20" s="36">
        <v>0.12976370000000001</v>
      </c>
      <c r="R20" s="36">
        <v>0.40762759999999998</v>
      </c>
      <c r="S20" s="36">
        <v>8.8333999999999996E-2</v>
      </c>
    </row>
    <row r="21" spans="1:19" x14ac:dyDescent="0.25">
      <c r="A21" s="2">
        <v>10</v>
      </c>
      <c r="B21" s="32">
        <v>1164544</v>
      </c>
      <c r="C21" s="6">
        <f t="shared" si="5"/>
        <v>1.3292058071481382E-2</v>
      </c>
      <c r="D21" s="6">
        <f t="shared" ref="D21:D84" si="12">$A20*$B20/$A$105+D20</f>
        <v>9.6717379840317549E-4</v>
      </c>
      <c r="E21" s="9">
        <f t="shared" si="6"/>
        <v>8.1944250195876105</v>
      </c>
      <c r="F21" s="7">
        <f t="shared" si="0"/>
        <v>10</v>
      </c>
      <c r="G21" s="7">
        <f t="shared" si="7"/>
        <v>10.7875</v>
      </c>
      <c r="H21" s="7">
        <f t="shared" si="8"/>
        <v>1.0997360360785986</v>
      </c>
      <c r="I21" s="7">
        <f t="shared" si="9"/>
        <v>2.4346774752138951</v>
      </c>
      <c r="J21" t="b">
        <f t="shared" si="1"/>
        <v>1</v>
      </c>
      <c r="K21" s="7">
        <f t="shared" si="2"/>
        <v>10</v>
      </c>
      <c r="L21" s="7">
        <f t="shared" si="10"/>
        <v>0</v>
      </c>
      <c r="M21">
        <f t="shared" si="3"/>
        <v>0</v>
      </c>
      <c r="N21">
        <f t="shared" si="4"/>
        <v>0</v>
      </c>
      <c r="O21" s="3">
        <f t="shared" si="11"/>
        <v>1164544</v>
      </c>
      <c r="P21" s="36">
        <v>0.66850566449331195</v>
      </c>
      <c r="Q21" s="36">
        <v>8.5713600000000001E-2</v>
      </c>
      <c r="R21" s="36">
        <v>0.34741250000000001</v>
      </c>
      <c r="S21" s="36">
        <v>0.1198032</v>
      </c>
    </row>
    <row r="22" spans="1:19" x14ac:dyDescent="0.25">
      <c r="A22" s="2">
        <v>11</v>
      </c>
      <c r="B22" s="32">
        <v>32083.200000000001</v>
      </c>
      <c r="C22" s="6">
        <f t="shared" si="5"/>
        <v>1.3527602041741573E-2</v>
      </c>
      <c r="D22" s="6">
        <f t="shared" si="12"/>
        <v>3.1177689260781759E-3</v>
      </c>
      <c r="E22" s="9">
        <f t="shared" si="6"/>
        <v>9.1944250195876105</v>
      </c>
      <c r="F22" s="7">
        <f t="shared" si="0"/>
        <v>11</v>
      </c>
      <c r="G22" s="7">
        <f t="shared" si="7"/>
        <v>11.7875</v>
      </c>
      <c r="H22" s="7">
        <f t="shared" si="8"/>
        <v>0.99376929485642207</v>
      </c>
      <c r="I22" s="7">
        <f t="shared" si="9"/>
        <v>2.1120354022743597</v>
      </c>
      <c r="J22" t="b">
        <f t="shared" si="1"/>
        <v>1</v>
      </c>
      <c r="K22" s="7">
        <f t="shared" si="2"/>
        <v>11</v>
      </c>
      <c r="L22" s="7">
        <f t="shared" si="10"/>
        <v>0</v>
      </c>
      <c r="M22">
        <f t="shared" si="3"/>
        <v>0</v>
      </c>
      <c r="N22">
        <f t="shared" si="4"/>
        <v>0</v>
      </c>
      <c r="O22" s="3">
        <f t="shared" si="11"/>
        <v>32083.200000000001</v>
      </c>
      <c r="P22" s="36">
        <v>0.7387130633743596</v>
      </c>
      <c r="Q22" s="36">
        <v>4.0630899999999998E-2</v>
      </c>
      <c r="R22" s="36">
        <v>0.4200585</v>
      </c>
      <c r="S22" s="36">
        <v>0.23591090000000001</v>
      </c>
    </row>
    <row r="23" spans="1:19" x14ac:dyDescent="0.25">
      <c r="A23" s="2">
        <v>12</v>
      </c>
      <c r="B23" s="32">
        <v>752013.2</v>
      </c>
      <c r="C23" s="6">
        <f t="shared" si="5"/>
        <v>1.9048627837674366E-2</v>
      </c>
      <c r="D23" s="6">
        <f t="shared" si="12"/>
        <v>3.1829427374242864E-3</v>
      </c>
      <c r="E23" s="9">
        <f t="shared" si="6"/>
        <v>10.19442501958761</v>
      </c>
      <c r="F23" s="7">
        <f t="shared" si="0"/>
        <v>12</v>
      </c>
      <c r="G23" s="7">
        <f t="shared" si="7"/>
        <v>12.7875</v>
      </c>
      <c r="H23" s="7">
        <f t="shared" si="8"/>
        <v>0.90650850846659137</v>
      </c>
      <c r="I23" s="7">
        <f t="shared" si="9"/>
        <v>1.8369917170946111</v>
      </c>
      <c r="J23" t="b">
        <f t="shared" si="1"/>
        <v>1</v>
      </c>
      <c r="K23" s="7">
        <f t="shared" si="2"/>
        <v>12</v>
      </c>
      <c r="L23" s="7">
        <f t="shared" si="10"/>
        <v>0</v>
      </c>
      <c r="M23">
        <f t="shared" si="3"/>
        <v>0</v>
      </c>
      <c r="N23">
        <f t="shared" si="4"/>
        <v>0</v>
      </c>
      <c r="O23" s="3">
        <f t="shared" si="11"/>
        <v>752013.19999999984</v>
      </c>
      <c r="P23" s="36">
        <v>0.71832894688550686</v>
      </c>
      <c r="Q23" s="36">
        <v>7.3302199999999998E-2</v>
      </c>
      <c r="R23" s="36">
        <v>0.31006620000000001</v>
      </c>
      <c r="S23" s="36">
        <v>0.11133759999999999</v>
      </c>
    </row>
    <row r="24" spans="1:19" x14ac:dyDescent="0.25">
      <c r="A24" s="2">
        <v>13</v>
      </c>
      <c r="B24" s="32">
        <v>107451.2</v>
      </c>
      <c r="C24" s="6">
        <f t="shared" si="5"/>
        <v>1.983749809554209E-2</v>
      </c>
      <c r="D24" s="6">
        <f t="shared" si="12"/>
        <v>4.8494586514994456E-3</v>
      </c>
      <c r="E24" s="9">
        <f t="shared" si="6"/>
        <v>11.19442501958761</v>
      </c>
      <c r="F24" s="7">
        <f t="shared" si="0"/>
        <v>13</v>
      </c>
      <c r="G24" s="7">
        <f t="shared" si="7"/>
        <v>13.7875</v>
      </c>
      <c r="H24" s="7">
        <f t="shared" si="8"/>
        <v>0.83338598525398555</v>
      </c>
      <c r="I24" s="7">
        <f t="shared" si="9"/>
        <v>1.6006232151572601</v>
      </c>
      <c r="J24" t="b">
        <f t="shared" si="1"/>
        <v>1</v>
      </c>
      <c r="K24" s="7">
        <f t="shared" si="2"/>
        <v>13</v>
      </c>
      <c r="L24" s="7">
        <f t="shared" si="10"/>
        <v>0</v>
      </c>
      <c r="M24">
        <f t="shared" si="3"/>
        <v>0</v>
      </c>
      <c r="N24">
        <f t="shared" si="4"/>
        <v>0</v>
      </c>
      <c r="O24" s="3">
        <f t="shared" si="11"/>
        <v>107451.19999999998</v>
      </c>
      <c r="P24" s="36">
        <v>0.6322132591886811</v>
      </c>
      <c r="Q24" s="36">
        <v>9.8919999999999994E-2</v>
      </c>
      <c r="R24" s="36">
        <v>0.30465110000000001</v>
      </c>
      <c r="S24" s="36">
        <v>0.16142889999999999</v>
      </c>
    </row>
    <row r="25" spans="1:19" x14ac:dyDescent="0.25">
      <c r="A25" s="2">
        <v>14</v>
      </c>
      <c r="B25" s="32">
        <v>133373.20000000001</v>
      </c>
      <c r="C25" s="6">
        <f t="shared" si="5"/>
        <v>2.0816678883440631E-2</v>
      </c>
      <c r="D25" s="6">
        <f t="shared" si="12"/>
        <v>5.107421626996878E-3</v>
      </c>
      <c r="E25" s="9">
        <f t="shared" si="6"/>
        <v>12.19442501958761</v>
      </c>
      <c r="F25" s="7">
        <f t="shared" si="0"/>
        <v>14</v>
      </c>
      <c r="G25" s="7">
        <f t="shared" si="7"/>
        <v>14.7875</v>
      </c>
      <c r="H25" s="7">
        <f t="shared" si="8"/>
        <v>0.77121339045387516</v>
      </c>
      <c r="I25" s="7">
        <f t="shared" si="9"/>
        <v>1.3963022759403718</v>
      </c>
      <c r="J25" t="b">
        <f t="shared" si="1"/>
        <v>1</v>
      </c>
      <c r="K25" s="7">
        <f t="shared" si="2"/>
        <v>14</v>
      </c>
      <c r="L25" s="7">
        <f t="shared" si="10"/>
        <v>0</v>
      </c>
      <c r="M25">
        <f t="shared" si="3"/>
        <v>0</v>
      </c>
      <c r="N25">
        <f t="shared" si="4"/>
        <v>0</v>
      </c>
      <c r="O25" s="3">
        <f t="shared" si="11"/>
        <v>133373.20000000001</v>
      </c>
      <c r="P25" s="36">
        <v>0.76536742273804459</v>
      </c>
      <c r="Q25" s="36">
        <v>0.13920969999999999</v>
      </c>
      <c r="R25" s="36">
        <v>0.26885360000000003</v>
      </c>
      <c r="S25" s="36">
        <v>0.1788448</v>
      </c>
    </row>
    <row r="26" spans="1:19" x14ac:dyDescent="0.25">
      <c r="A26" s="2">
        <v>15</v>
      </c>
      <c r="B26" s="32">
        <v>1595177</v>
      </c>
      <c r="C26" s="6">
        <f t="shared" si="5"/>
        <v>3.2527927257908908E-2</v>
      </c>
      <c r="D26" s="6">
        <f t="shared" si="12"/>
        <v>5.4522471172448999E-3</v>
      </c>
      <c r="E26" s="9">
        <f t="shared" si="6"/>
        <v>13.19442501958761</v>
      </c>
      <c r="F26" s="7">
        <f t="shared" si="0"/>
        <v>15</v>
      </c>
      <c r="G26" s="7">
        <f t="shared" si="7"/>
        <v>15.7875</v>
      </c>
      <c r="H26" s="7">
        <f t="shared" si="8"/>
        <v>0.71769637719535107</v>
      </c>
      <c r="I26" s="7">
        <f t="shared" si="9"/>
        <v>1.2189712636761891</v>
      </c>
      <c r="J26" t="b">
        <f t="shared" si="1"/>
        <v>1</v>
      </c>
      <c r="K26" s="7">
        <f t="shared" si="2"/>
        <v>15</v>
      </c>
      <c r="L26" s="7">
        <f t="shared" si="10"/>
        <v>0</v>
      </c>
      <c r="M26">
        <f t="shared" si="3"/>
        <v>0</v>
      </c>
      <c r="N26">
        <f t="shared" si="4"/>
        <v>0</v>
      </c>
      <c r="O26" s="3">
        <f t="shared" si="11"/>
        <v>1595177</v>
      </c>
      <c r="P26" s="36">
        <v>0.61425585732695664</v>
      </c>
      <c r="Q26" s="36">
        <v>7.2752399999999995E-2</v>
      </c>
      <c r="R26" s="36">
        <v>0.30492930000000001</v>
      </c>
      <c r="S26" s="36">
        <v>9.8837800000000003E-2</v>
      </c>
    </row>
    <row r="27" spans="1:19" x14ac:dyDescent="0.25">
      <c r="A27" s="2">
        <v>16</v>
      </c>
      <c r="B27" s="32">
        <v>717694.3</v>
      </c>
      <c r="C27" s="6">
        <f t="shared" si="5"/>
        <v>3.7796995332636758E-2</v>
      </c>
      <c r="D27" s="6">
        <f t="shared" si="12"/>
        <v>9.8710323464580828E-3</v>
      </c>
      <c r="E27" s="9">
        <f t="shared" si="6"/>
        <v>14.19442501958761</v>
      </c>
      <c r="F27" s="7">
        <f t="shared" si="0"/>
        <v>16</v>
      </c>
      <c r="G27" s="7">
        <f t="shared" si="7"/>
        <v>16.787500000000001</v>
      </c>
      <c r="H27" s="7">
        <f t="shared" si="8"/>
        <v>0.67114111434305024</v>
      </c>
      <c r="I27" s="7">
        <f t="shared" si="9"/>
        <v>1.0646827386156601</v>
      </c>
      <c r="J27" t="b">
        <f t="shared" si="1"/>
        <v>1</v>
      </c>
      <c r="K27" s="7">
        <f t="shared" si="2"/>
        <v>16</v>
      </c>
      <c r="L27" s="7">
        <f t="shared" si="10"/>
        <v>0</v>
      </c>
      <c r="M27">
        <f t="shared" si="3"/>
        <v>0</v>
      </c>
      <c r="N27">
        <f t="shared" si="4"/>
        <v>0</v>
      </c>
      <c r="O27" s="3">
        <f t="shared" si="11"/>
        <v>717694.3</v>
      </c>
      <c r="P27" s="36">
        <v>0.67759767184437258</v>
      </c>
      <c r="Q27" s="36">
        <v>0.1026349</v>
      </c>
      <c r="R27" s="36">
        <v>0.33918789999999999</v>
      </c>
      <c r="S27" s="36">
        <v>0.1306966</v>
      </c>
    </row>
    <row r="28" spans="1:19" x14ac:dyDescent="0.25">
      <c r="A28" s="2">
        <v>17</v>
      </c>
      <c r="B28" s="32">
        <v>121287.4</v>
      </c>
      <c r="C28" s="6">
        <f t="shared" si="5"/>
        <v>3.868744627701063E-2</v>
      </c>
      <c r="D28" s="6">
        <f t="shared" si="12"/>
        <v>1.1991649329229186E-2</v>
      </c>
      <c r="E28" s="9">
        <f t="shared" si="6"/>
        <v>15.19442501958761</v>
      </c>
      <c r="F28" s="7">
        <f t="shared" si="0"/>
        <v>17</v>
      </c>
      <c r="G28" s="7">
        <f t="shared" si="7"/>
        <v>17.787500000000001</v>
      </c>
      <c r="H28" s="7">
        <f t="shared" si="8"/>
        <v>0.63026951147712973</v>
      </c>
      <c r="I28" s="7">
        <f t="shared" si="9"/>
        <v>0.93029656396603955</v>
      </c>
      <c r="J28" t="b">
        <f t="shared" si="1"/>
        <v>1</v>
      </c>
      <c r="K28" s="7">
        <f t="shared" si="2"/>
        <v>17</v>
      </c>
      <c r="L28" s="7">
        <f t="shared" si="10"/>
        <v>0</v>
      </c>
      <c r="M28">
        <f t="shared" si="3"/>
        <v>0</v>
      </c>
      <c r="N28">
        <f t="shared" si="4"/>
        <v>0</v>
      </c>
      <c r="O28" s="3">
        <f t="shared" si="11"/>
        <v>121287.4</v>
      </c>
      <c r="P28" s="36">
        <v>0.70159704938896383</v>
      </c>
      <c r="Q28" s="36">
        <v>0.1681725</v>
      </c>
      <c r="R28" s="36">
        <v>0.22126979999999999</v>
      </c>
      <c r="S28" s="36">
        <v>5.5389599999999997E-2</v>
      </c>
    </row>
    <row r="29" spans="1:19" x14ac:dyDescent="0.25">
      <c r="A29" s="2">
        <v>18</v>
      </c>
      <c r="B29" s="32">
        <v>354843.3</v>
      </c>
      <c r="C29" s="6">
        <f t="shared" si="5"/>
        <v>4.1292585405969959E-2</v>
      </c>
      <c r="D29" s="6">
        <f t="shared" si="12"/>
        <v>1.2372423396615413E-2</v>
      </c>
      <c r="E29" s="9">
        <f t="shared" si="6"/>
        <v>16.194425019587609</v>
      </c>
      <c r="F29" s="7">
        <f t="shared" si="0"/>
        <v>18</v>
      </c>
      <c r="G29" s="7">
        <f t="shared" si="7"/>
        <v>18.787500000000001</v>
      </c>
      <c r="H29" s="7">
        <f t="shared" si="8"/>
        <v>0.59409882664803904</v>
      </c>
      <c r="I29" s="7">
        <f t="shared" si="9"/>
        <v>0.81327374696721855</v>
      </c>
      <c r="J29" t="b">
        <f t="shared" si="1"/>
        <v>1</v>
      </c>
      <c r="K29" s="7">
        <f t="shared" si="2"/>
        <v>18</v>
      </c>
      <c r="L29" s="7">
        <f t="shared" si="10"/>
        <v>0</v>
      </c>
      <c r="M29">
        <f t="shared" si="3"/>
        <v>0</v>
      </c>
      <c r="N29">
        <f t="shared" si="4"/>
        <v>0</v>
      </c>
      <c r="O29" s="3">
        <f t="shared" si="11"/>
        <v>354843.3</v>
      </c>
      <c r="P29" s="36">
        <v>0.60885409318940575</v>
      </c>
      <c r="Q29" s="36">
        <v>0.1233119</v>
      </c>
      <c r="R29" s="36">
        <v>0.33377960000000001</v>
      </c>
      <c r="S29" s="36">
        <v>0.11921900000000001</v>
      </c>
    </row>
    <row r="30" spans="1:19" x14ac:dyDescent="0.25">
      <c r="A30" s="2">
        <v>19</v>
      </c>
      <c r="B30" s="32">
        <v>42924.36</v>
      </c>
      <c r="C30" s="6">
        <f t="shared" si="5"/>
        <v>4.1607721495115609E-2</v>
      </c>
      <c r="D30" s="6">
        <f t="shared" si="12"/>
        <v>1.3551961215472075E-2</v>
      </c>
      <c r="E30" s="9">
        <f t="shared" si="6"/>
        <v>17.194425019587609</v>
      </c>
      <c r="F30" s="7">
        <f t="shared" si="0"/>
        <v>19</v>
      </c>
      <c r="G30" s="7">
        <f t="shared" si="7"/>
        <v>19.787500000000001</v>
      </c>
      <c r="H30" s="7">
        <f t="shared" si="8"/>
        <v>0.56186088278527913</v>
      </c>
      <c r="I30" s="7">
        <f t="shared" si="9"/>
        <v>0.7115321570750669</v>
      </c>
      <c r="J30" t="b">
        <f t="shared" si="1"/>
        <v>1</v>
      </c>
      <c r="K30" s="7">
        <f t="shared" si="2"/>
        <v>19</v>
      </c>
      <c r="L30" s="7">
        <f t="shared" si="10"/>
        <v>0</v>
      </c>
      <c r="M30">
        <f t="shared" si="3"/>
        <v>0</v>
      </c>
      <c r="N30">
        <f t="shared" si="4"/>
        <v>0</v>
      </c>
      <c r="O30" s="3">
        <f t="shared" si="11"/>
        <v>42924.36</v>
      </c>
      <c r="P30" s="36">
        <v>0.7770279368612194</v>
      </c>
      <c r="Q30" s="36">
        <v>5.8919100000000002E-2</v>
      </c>
      <c r="R30" s="36">
        <v>0.36710520000000002</v>
      </c>
      <c r="S30" s="36">
        <v>6.4019499999999993E-2</v>
      </c>
    </row>
    <row r="31" spans="1:19" x14ac:dyDescent="0.25">
      <c r="A31" s="2">
        <v>20</v>
      </c>
      <c r="B31" s="32">
        <v>5215875</v>
      </c>
      <c r="C31" s="6">
        <f t="shared" si="5"/>
        <v>7.9900906273469186E-2</v>
      </c>
      <c r="D31" s="6">
        <f t="shared" si="12"/>
        <v>1.3702573426776825E-2</v>
      </c>
      <c r="E31" s="9">
        <f t="shared" si="6"/>
        <v>18.194425019587609</v>
      </c>
      <c r="F31" s="7">
        <f t="shared" si="0"/>
        <v>20</v>
      </c>
      <c r="G31" s="7">
        <f t="shared" si="7"/>
        <v>20.787500000000001</v>
      </c>
      <c r="H31" s="7">
        <f t="shared" si="8"/>
        <v>0.53294645986477296</v>
      </c>
      <c r="I31" s="7">
        <f t="shared" si="9"/>
        <v>0.62334309138965727</v>
      </c>
      <c r="J31" t="b">
        <f t="shared" si="1"/>
        <v>1</v>
      </c>
      <c r="K31" s="7">
        <f t="shared" si="2"/>
        <v>20</v>
      </c>
      <c r="L31" s="7">
        <f t="shared" si="10"/>
        <v>0</v>
      </c>
      <c r="M31">
        <f t="shared" si="3"/>
        <v>0</v>
      </c>
      <c r="N31">
        <f t="shared" si="4"/>
        <v>0</v>
      </c>
      <c r="O31" s="3">
        <f t="shared" si="11"/>
        <v>5215875</v>
      </c>
      <c r="P31" s="36">
        <v>0.62853495092319212</v>
      </c>
      <c r="Q31" s="36">
        <v>0.1102867</v>
      </c>
      <c r="R31" s="36">
        <v>0.3448485</v>
      </c>
      <c r="S31" s="36">
        <v>8.20689E-2</v>
      </c>
    </row>
    <row r="32" spans="1:19" x14ac:dyDescent="0.25">
      <c r="A32" s="2">
        <v>21</v>
      </c>
      <c r="B32" s="32">
        <v>149887.70000000001</v>
      </c>
      <c r="C32" s="6">
        <f t="shared" si="5"/>
        <v>8.1001330917867764E-2</v>
      </c>
      <c r="D32" s="6">
        <f t="shared" si="12"/>
        <v>3.2967170318885394E-2</v>
      </c>
      <c r="E32" s="9">
        <f t="shared" si="6"/>
        <v>19.194425019587609</v>
      </c>
      <c r="F32" s="7">
        <f t="shared" si="0"/>
        <v>21</v>
      </c>
      <c r="G32" s="7">
        <f t="shared" si="7"/>
        <v>21.787500000000001</v>
      </c>
      <c r="H32" s="7">
        <f t="shared" si="8"/>
        <v>0.50686615015684067</v>
      </c>
      <c r="I32" s="7">
        <f t="shared" si="9"/>
        <v>0.54725555085611066</v>
      </c>
      <c r="J32" t="b">
        <f t="shared" si="1"/>
        <v>1</v>
      </c>
      <c r="K32" s="7">
        <f t="shared" si="2"/>
        <v>21</v>
      </c>
      <c r="L32" s="7">
        <f t="shared" si="10"/>
        <v>0</v>
      </c>
      <c r="M32">
        <f t="shared" si="3"/>
        <v>0</v>
      </c>
      <c r="N32">
        <f t="shared" si="4"/>
        <v>0</v>
      </c>
      <c r="O32" s="3">
        <f t="shared" si="11"/>
        <v>149887.70000000001</v>
      </c>
      <c r="P32" s="36">
        <v>0.60823820986997867</v>
      </c>
      <c r="Q32" s="36">
        <v>0.1230545</v>
      </c>
      <c r="R32" s="36">
        <v>0.43148350000000002</v>
      </c>
      <c r="S32" s="36">
        <v>0.138458</v>
      </c>
    </row>
    <row r="33" spans="1:19" x14ac:dyDescent="0.25">
      <c r="A33" s="2">
        <v>22</v>
      </c>
      <c r="B33" s="32">
        <v>168577.1</v>
      </c>
      <c r="C33" s="6">
        <f t="shared" si="5"/>
        <v>8.2238966796737367E-2</v>
      </c>
      <c r="D33" s="6">
        <f t="shared" si="12"/>
        <v>3.3548453885988629E-2</v>
      </c>
      <c r="E33" s="9">
        <f t="shared" si="6"/>
        <v>20.194425019587609</v>
      </c>
      <c r="F33" s="7">
        <f t="shared" si="0"/>
        <v>22</v>
      </c>
      <c r="G33" s="7">
        <f t="shared" si="7"/>
        <v>22.787500000000001</v>
      </c>
      <c r="H33" s="7">
        <f t="shared" si="8"/>
        <v>0.48322225127582852</v>
      </c>
      <c r="I33" s="7">
        <f t="shared" si="9"/>
        <v>0.48203976982328867</v>
      </c>
      <c r="J33" t="b">
        <f t="shared" si="1"/>
        <v>1</v>
      </c>
      <c r="K33" s="7">
        <f t="shared" si="2"/>
        <v>22</v>
      </c>
      <c r="L33" s="7">
        <f t="shared" si="10"/>
        <v>0</v>
      </c>
      <c r="M33">
        <f t="shared" si="3"/>
        <v>0</v>
      </c>
      <c r="N33">
        <f t="shared" si="4"/>
        <v>0</v>
      </c>
      <c r="O33" s="3">
        <f t="shared" si="11"/>
        <v>168577.1</v>
      </c>
      <c r="P33" s="36">
        <v>0.66033213534510571</v>
      </c>
      <c r="Q33" s="36">
        <v>0.148364</v>
      </c>
      <c r="R33" s="36">
        <v>0.3782507</v>
      </c>
      <c r="S33" s="36">
        <v>5.9747300000000003E-2</v>
      </c>
    </row>
    <row r="34" spans="1:19" x14ac:dyDescent="0.25">
      <c r="A34" s="2">
        <v>23</v>
      </c>
      <c r="B34" s="32">
        <v>157785.9</v>
      </c>
      <c r="C34" s="6">
        <f t="shared" si="5"/>
        <v>8.3397377346092719E-2</v>
      </c>
      <c r="D34" s="6">
        <f t="shared" si="12"/>
        <v>3.4233348915952873E-2</v>
      </c>
      <c r="E34" s="9">
        <f t="shared" si="6"/>
        <v>21.194425019587609</v>
      </c>
      <c r="F34" s="7">
        <f t="shared" si="0"/>
        <v>23</v>
      </c>
      <c r="G34" s="7">
        <f t="shared" si="7"/>
        <v>23.787500000000001</v>
      </c>
      <c r="H34" s="7">
        <f t="shared" si="8"/>
        <v>0.46168822520538966</v>
      </c>
      <c r="I34" s="7">
        <f t="shared" si="9"/>
        <v>0.42664440776566293</v>
      </c>
      <c r="J34" t="b">
        <f t="shared" si="1"/>
        <v>1</v>
      </c>
      <c r="K34" s="7">
        <f t="shared" si="2"/>
        <v>23</v>
      </c>
      <c r="L34" s="7">
        <f t="shared" si="10"/>
        <v>0</v>
      </c>
      <c r="M34">
        <f t="shared" si="3"/>
        <v>0</v>
      </c>
      <c r="N34">
        <f t="shared" si="4"/>
        <v>0</v>
      </c>
      <c r="O34" s="3">
        <f t="shared" si="11"/>
        <v>157785.9</v>
      </c>
      <c r="P34" s="36">
        <v>0.69853276468925896</v>
      </c>
      <c r="Q34" s="36">
        <v>0.15631200000000001</v>
      </c>
      <c r="R34" s="36">
        <v>0.35153129999999999</v>
      </c>
      <c r="S34" s="36">
        <v>9.2072500000000002E-2</v>
      </c>
    </row>
    <row r="35" spans="1:19" x14ac:dyDescent="0.25">
      <c r="A35" s="2">
        <v>24</v>
      </c>
      <c r="B35" s="32">
        <v>1366080</v>
      </c>
      <c r="C35" s="6">
        <f t="shared" si="5"/>
        <v>9.3426673267105631E-2</v>
      </c>
      <c r="D35" s="6">
        <f t="shared" si="12"/>
        <v>3.4903540211291113E-2</v>
      </c>
      <c r="E35" s="9">
        <f t="shared" si="6"/>
        <v>22.194425019587609</v>
      </c>
      <c r="F35" s="7">
        <f t="shared" si="0"/>
        <v>24</v>
      </c>
      <c r="G35" s="7">
        <f t="shared" si="7"/>
        <v>24.787500000000001</v>
      </c>
      <c r="H35" s="7">
        <f t="shared" si="8"/>
        <v>0.44199344699482418</v>
      </c>
      <c r="I35" s="7">
        <f t="shared" si="9"/>
        <v>0.38016361914326946</v>
      </c>
      <c r="J35" t="b">
        <f t="shared" si="1"/>
        <v>1</v>
      </c>
      <c r="K35" s="7">
        <f t="shared" si="2"/>
        <v>24</v>
      </c>
      <c r="L35" s="7">
        <f t="shared" si="10"/>
        <v>0</v>
      </c>
      <c r="M35">
        <f t="shared" si="3"/>
        <v>0</v>
      </c>
      <c r="N35">
        <f t="shared" si="4"/>
        <v>0</v>
      </c>
      <c r="O35" s="3">
        <f t="shared" si="11"/>
        <v>1366080</v>
      </c>
      <c r="P35" s="36">
        <v>0.69714167607863164</v>
      </c>
      <c r="Q35" s="36">
        <v>0.1022044</v>
      </c>
      <c r="R35" s="36">
        <v>0.43736259999999999</v>
      </c>
      <c r="S35" s="36">
        <v>0.11052099999999999</v>
      </c>
    </row>
    <row r="36" spans="1:19" x14ac:dyDescent="0.25">
      <c r="A36" s="2">
        <v>25</v>
      </c>
      <c r="B36" s="32">
        <v>2788093</v>
      </c>
      <c r="C36" s="6">
        <f t="shared" si="5"/>
        <v>0.11389590622001078</v>
      </c>
      <c r="D36" s="6">
        <f t="shared" si="12"/>
        <v>4.095820536849791E-2</v>
      </c>
      <c r="E36" s="9">
        <f t="shared" si="6"/>
        <v>23.194425019587609</v>
      </c>
      <c r="F36" s="7">
        <f t="shared" si="0"/>
        <v>25</v>
      </c>
      <c r="G36" s="7">
        <f t="shared" si="7"/>
        <v>25.787500000000001</v>
      </c>
      <c r="H36" s="7">
        <f t="shared" si="8"/>
        <v>0.42391171792733173</v>
      </c>
      <c r="I36" s="7">
        <f t="shared" si="9"/>
        <v>0.34181138635271302</v>
      </c>
      <c r="J36" t="b">
        <f t="shared" si="1"/>
        <v>1</v>
      </c>
      <c r="K36" s="7">
        <f t="shared" si="2"/>
        <v>25</v>
      </c>
      <c r="L36" s="7">
        <f t="shared" si="10"/>
        <v>0</v>
      </c>
      <c r="M36">
        <f t="shared" si="3"/>
        <v>0</v>
      </c>
      <c r="N36">
        <f t="shared" si="4"/>
        <v>0</v>
      </c>
      <c r="O36" s="3">
        <f t="shared" si="11"/>
        <v>2788093</v>
      </c>
      <c r="P36" s="36">
        <v>0.62001171553543699</v>
      </c>
      <c r="Q36" s="36">
        <v>0.14164450000000001</v>
      </c>
      <c r="R36" s="36">
        <v>0.3370669</v>
      </c>
      <c r="S36" s="36">
        <v>7.21049E-2</v>
      </c>
    </row>
    <row r="37" spans="1:19" x14ac:dyDescent="0.25">
      <c r="A37" s="2">
        <v>26</v>
      </c>
      <c r="B37" s="32">
        <v>130005</v>
      </c>
      <c r="C37" s="6">
        <f t="shared" si="5"/>
        <v>0.11485035882616217</v>
      </c>
      <c r="D37" s="6">
        <f t="shared" si="12"/>
        <v>5.3830323599549666E-2</v>
      </c>
      <c r="E37" s="9">
        <f t="shared" si="6"/>
        <v>24.194425019587609</v>
      </c>
      <c r="F37" s="7">
        <f t="shared" si="0"/>
        <v>26</v>
      </c>
      <c r="G37" s="7">
        <f t="shared" si="7"/>
        <v>26.787500000000001</v>
      </c>
      <c r="H37" s="7">
        <f t="shared" si="8"/>
        <v>0.40725250107188654</v>
      </c>
      <c r="I37" s="7">
        <f t="shared" si="9"/>
        <v>0.31090127437072523</v>
      </c>
      <c r="J37" t="b">
        <f t="shared" si="1"/>
        <v>1</v>
      </c>
      <c r="K37" s="7">
        <f t="shared" si="2"/>
        <v>26</v>
      </c>
      <c r="L37" s="7">
        <f t="shared" si="10"/>
        <v>0</v>
      </c>
      <c r="M37">
        <f t="shared" si="3"/>
        <v>0</v>
      </c>
      <c r="N37">
        <f t="shared" si="4"/>
        <v>0</v>
      </c>
      <c r="O37" s="3">
        <f t="shared" si="11"/>
        <v>130005</v>
      </c>
      <c r="P37" s="36">
        <v>0.7536528778924938</v>
      </c>
      <c r="Q37" s="36">
        <v>0.17722060000000001</v>
      </c>
      <c r="R37" s="36">
        <v>0.40667360000000002</v>
      </c>
      <c r="S37" s="36">
        <v>2.1316999999999998E-3</v>
      </c>
    </row>
    <row r="38" spans="1:19" x14ac:dyDescent="0.25">
      <c r="A38" s="2">
        <v>27</v>
      </c>
      <c r="B38" s="32">
        <v>157068.9</v>
      </c>
      <c r="C38" s="6">
        <f t="shared" si="5"/>
        <v>0.11600350540475785</v>
      </c>
      <c r="D38" s="6">
        <f t="shared" si="12"/>
        <v>5.445454141432593E-2</v>
      </c>
      <c r="E38" s="9">
        <f t="shared" si="6"/>
        <v>25.194425019587609</v>
      </c>
      <c r="F38" s="7">
        <f t="shared" si="0"/>
        <v>27</v>
      </c>
      <c r="G38" s="7">
        <f t="shared" si="7"/>
        <v>27.787500000000001</v>
      </c>
      <c r="H38" s="7">
        <f t="shared" si="8"/>
        <v>0.39185415451684347</v>
      </c>
      <c r="I38" s="7">
        <f t="shared" si="9"/>
        <v>0.28683028833596214</v>
      </c>
      <c r="J38" t="b">
        <f t="shared" si="1"/>
        <v>1</v>
      </c>
      <c r="K38" s="7">
        <f t="shared" si="2"/>
        <v>27</v>
      </c>
      <c r="L38" s="7">
        <f t="shared" si="10"/>
        <v>0</v>
      </c>
      <c r="M38">
        <f t="shared" si="3"/>
        <v>0</v>
      </c>
      <c r="N38">
        <f t="shared" si="4"/>
        <v>0</v>
      </c>
      <c r="O38" s="3">
        <f t="shared" si="11"/>
        <v>157068.9</v>
      </c>
      <c r="P38" s="36">
        <v>0.68938735668071227</v>
      </c>
      <c r="Q38" s="36">
        <v>0.1043721</v>
      </c>
      <c r="R38" s="36">
        <v>0.43528840000000002</v>
      </c>
      <c r="S38" s="36">
        <v>8.2342299999999993E-2</v>
      </c>
    </row>
    <row r="39" spans="1:19" x14ac:dyDescent="0.25">
      <c r="A39" s="2">
        <v>28</v>
      </c>
      <c r="B39" s="32">
        <v>448118</v>
      </c>
      <c r="C39" s="6">
        <f t="shared" si="5"/>
        <v>0.11929343573792461</v>
      </c>
      <c r="D39" s="6">
        <f t="shared" si="12"/>
        <v>5.5237712638284003E-2</v>
      </c>
      <c r="E39" s="9">
        <f t="shared" si="6"/>
        <v>26.194425019587609</v>
      </c>
      <c r="F39" s="7">
        <f t="shared" si="0"/>
        <v>28</v>
      </c>
      <c r="G39" s="7">
        <f t="shared" si="7"/>
        <v>28.787500000000001</v>
      </c>
      <c r="H39" s="7">
        <f t="shared" si="8"/>
        <v>0.37757865013489894</v>
      </c>
      <c r="I39" s="7">
        <f t="shared" si="9"/>
        <v>0.26906587501082213</v>
      </c>
      <c r="J39" t="b">
        <f t="shared" si="1"/>
        <v>1</v>
      </c>
      <c r="K39" s="7">
        <f t="shared" si="2"/>
        <v>28</v>
      </c>
      <c r="L39" s="7">
        <f t="shared" si="10"/>
        <v>0</v>
      </c>
      <c r="M39">
        <f t="shared" si="3"/>
        <v>0</v>
      </c>
      <c r="N39">
        <f t="shared" si="4"/>
        <v>0</v>
      </c>
      <c r="O39" s="3">
        <f t="shared" si="11"/>
        <v>448118</v>
      </c>
      <c r="P39" s="36">
        <v>0.71162305464185771</v>
      </c>
      <c r="Q39" s="36">
        <v>0.178478</v>
      </c>
      <c r="R39" s="36">
        <v>0.40314290000000003</v>
      </c>
      <c r="S39" s="36">
        <v>7.7296799999999999E-2</v>
      </c>
    </row>
    <row r="40" spans="1:19" x14ac:dyDescent="0.25">
      <c r="A40" s="2">
        <v>29</v>
      </c>
      <c r="B40" s="32">
        <v>69923.070000000007</v>
      </c>
      <c r="C40" s="6">
        <f t="shared" si="5"/>
        <v>0.1198067871966501</v>
      </c>
      <c r="D40" s="6">
        <f t="shared" si="12"/>
        <v>5.7554857447570475E-2</v>
      </c>
      <c r="E40" s="9">
        <f t="shared" si="6"/>
        <v>27.194425019587609</v>
      </c>
      <c r="F40" s="7">
        <f t="shared" si="0"/>
        <v>29</v>
      </c>
      <c r="G40" s="7">
        <f t="shared" si="7"/>
        <v>29.787500000000001</v>
      </c>
      <c r="H40" s="7">
        <f t="shared" si="8"/>
        <v>0.36430741058302896</v>
      </c>
      <c r="I40" s="7">
        <f t="shared" si="9"/>
        <v>0.25713536082948252</v>
      </c>
      <c r="J40" t="b">
        <f t="shared" si="1"/>
        <v>1</v>
      </c>
      <c r="K40" s="7">
        <f t="shared" si="2"/>
        <v>29</v>
      </c>
      <c r="L40" s="7">
        <f t="shared" si="10"/>
        <v>0</v>
      </c>
      <c r="M40">
        <f t="shared" si="3"/>
        <v>0</v>
      </c>
      <c r="N40">
        <f t="shared" si="4"/>
        <v>0</v>
      </c>
      <c r="O40" s="3">
        <f t="shared" si="11"/>
        <v>69923.070000000007</v>
      </c>
      <c r="P40" s="36">
        <v>0.80996890954765532</v>
      </c>
      <c r="Q40" s="36">
        <v>0.17476269999999999</v>
      </c>
      <c r="R40" s="36">
        <v>0.42967040000000001</v>
      </c>
      <c r="S40" s="36">
        <v>0.1247216</v>
      </c>
    </row>
    <row r="41" spans="1:19" x14ac:dyDescent="0.25">
      <c r="A41" s="2">
        <v>30</v>
      </c>
      <c r="B41" s="32">
        <v>4735767</v>
      </c>
      <c r="C41" s="6">
        <f t="shared" si="5"/>
        <v>0.15457518191435884</v>
      </c>
      <c r="D41" s="6">
        <f t="shared" si="12"/>
        <v>5.7929331078104683E-2</v>
      </c>
      <c r="E41" s="9">
        <f t="shared" si="6"/>
        <v>28.194425019587609</v>
      </c>
      <c r="F41" s="7">
        <f t="shared" si="0"/>
        <v>30</v>
      </c>
      <c r="G41" s="7">
        <f t="shared" si="7"/>
        <v>30.787500000000001</v>
      </c>
      <c r="H41" s="7">
        <f t="shared" si="8"/>
        <v>0.35193799755022165</v>
      </c>
      <c r="I41" s="7">
        <f t="shared" si="9"/>
        <v>0.2506172981922512</v>
      </c>
      <c r="J41" t="b">
        <f t="shared" si="1"/>
        <v>0</v>
      </c>
      <c r="K41" s="7">
        <f t="shared" si="2"/>
        <v>29</v>
      </c>
      <c r="L41" s="7">
        <f t="shared" si="10"/>
        <v>-1</v>
      </c>
      <c r="M41">
        <f t="shared" si="3"/>
        <v>0</v>
      </c>
      <c r="N41">
        <f t="shared" si="4"/>
        <v>0</v>
      </c>
      <c r="O41" s="3">
        <f t="shared" si="11"/>
        <v>4899069.3103448274</v>
      </c>
      <c r="P41" s="36">
        <v>0.59836903719357315</v>
      </c>
      <c r="Q41" s="36">
        <v>0.17749980000000001</v>
      </c>
      <c r="R41" s="36">
        <v>0.35903829999999998</v>
      </c>
      <c r="S41" s="36">
        <v>4.5966199999999999E-2</v>
      </c>
    </row>
    <row r="42" spans="1:19" x14ac:dyDescent="0.25">
      <c r="A42" s="2">
        <v>31</v>
      </c>
      <c r="B42" s="32">
        <v>44161.75</v>
      </c>
      <c r="C42" s="6">
        <f t="shared" si="5"/>
        <v>0.15489940250110323</v>
      </c>
      <c r="D42" s="6">
        <f t="shared" si="12"/>
        <v>8.4166340850180404E-2</v>
      </c>
      <c r="E42" s="9">
        <f t="shared" si="6"/>
        <v>29.194425019587609</v>
      </c>
      <c r="F42" s="7">
        <f t="shared" si="0"/>
        <v>31</v>
      </c>
      <c r="G42" s="7">
        <f t="shared" si="7"/>
        <v>31.787500000000001</v>
      </c>
      <c r="H42" s="7">
        <f t="shared" si="8"/>
        <v>0.34038145475612858</v>
      </c>
      <c r="I42" s="7">
        <f t="shared" si="9"/>
        <v>0.24913432067459038</v>
      </c>
      <c r="J42" t="b">
        <f t="shared" si="1"/>
        <v>0</v>
      </c>
      <c r="K42" s="7">
        <f t="shared" si="2"/>
        <v>29</v>
      </c>
      <c r="L42" s="7">
        <f t="shared" si="10"/>
        <v>-2</v>
      </c>
      <c r="M42">
        <f t="shared" si="3"/>
        <v>0</v>
      </c>
      <c r="N42">
        <f t="shared" si="4"/>
        <v>0</v>
      </c>
      <c r="O42" s="3">
        <f t="shared" si="11"/>
        <v>47207.387931034486</v>
      </c>
      <c r="P42" s="36">
        <v>0.81852105456597501</v>
      </c>
      <c r="Q42" s="36">
        <v>0.4441678</v>
      </c>
      <c r="R42" s="36">
        <v>0.45219009999999998</v>
      </c>
      <c r="S42" s="36">
        <v>3.3814299999999999E-2</v>
      </c>
    </row>
    <row r="43" spans="1:19" x14ac:dyDescent="0.25">
      <c r="A43" s="2">
        <v>32</v>
      </c>
      <c r="B43" s="32">
        <v>1921819</v>
      </c>
      <c r="C43" s="6">
        <f t="shared" si="5"/>
        <v>0.16900874562714646</v>
      </c>
      <c r="D43" s="6">
        <f t="shared" si="12"/>
        <v>8.4419160441004587E-2</v>
      </c>
      <c r="E43" s="9">
        <f t="shared" si="6"/>
        <v>30.194425019587609</v>
      </c>
      <c r="F43" s="7">
        <f t="shared" si="0"/>
        <v>32</v>
      </c>
      <c r="G43" s="7">
        <f t="shared" si="7"/>
        <v>32.787500000000001</v>
      </c>
      <c r="H43" s="7">
        <f t="shared" si="8"/>
        <v>0.32956015941449912</v>
      </c>
      <c r="I43" s="7">
        <f t="shared" si="9"/>
        <v>0.25234720203670286</v>
      </c>
      <c r="J43" t="b">
        <f t="shared" si="1"/>
        <v>0</v>
      </c>
      <c r="K43" s="7">
        <f t="shared" si="2"/>
        <v>29</v>
      </c>
      <c r="L43" s="7">
        <f t="shared" si="10"/>
        <v>-3</v>
      </c>
      <c r="M43">
        <f t="shared" si="3"/>
        <v>0</v>
      </c>
      <c r="N43">
        <f t="shared" si="4"/>
        <v>0</v>
      </c>
      <c r="O43" s="3">
        <f t="shared" si="11"/>
        <v>2120627.8620689656</v>
      </c>
      <c r="P43" s="36">
        <v>0.71987074955486186</v>
      </c>
      <c r="Q43" s="36">
        <v>0.2044311</v>
      </c>
      <c r="R43" s="36">
        <v>0.4390754</v>
      </c>
      <c r="S43" s="36">
        <v>4.7721399999999997E-2</v>
      </c>
    </row>
    <row r="44" spans="1:19" x14ac:dyDescent="0.25">
      <c r="A44" s="2">
        <v>33</v>
      </c>
      <c r="B44" s="32">
        <v>149202.29999999999</v>
      </c>
      <c r="C44" s="6">
        <f t="shared" si="5"/>
        <v>0.17010413829726515</v>
      </c>
      <c r="D44" s="6">
        <f t="shared" si="12"/>
        <v>9.5776202037161001E-2</v>
      </c>
      <c r="E44" s="9">
        <f t="shared" si="6"/>
        <v>31.194425019587609</v>
      </c>
      <c r="F44" s="7">
        <f t="shared" si="0"/>
        <v>33</v>
      </c>
      <c r="G44" s="7">
        <f t="shared" si="7"/>
        <v>33.787500000000001</v>
      </c>
      <c r="H44" s="7">
        <f t="shared" si="8"/>
        <v>0.31940607209148802</v>
      </c>
      <c r="I44" s="7">
        <f t="shared" si="9"/>
        <v>0.25994988355815452</v>
      </c>
      <c r="J44" t="b">
        <f t="shared" si="1"/>
        <v>0</v>
      </c>
      <c r="K44" s="7">
        <f t="shared" si="2"/>
        <v>29</v>
      </c>
      <c r="L44" s="7">
        <f t="shared" si="10"/>
        <v>-4</v>
      </c>
      <c r="M44">
        <f t="shared" si="3"/>
        <v>0</v>
      </c>
      <c r="N44">
        <f t="shared" si="4"/>
        <v>0</v>
      </c>
      <c r="O44" s="3">
        <f t="shared" si="11"/>
        <v>169781.92758620688</v>
      </c>
      <c r="P44" s="36">
        <v>0.72869783316357495</v>
      </c>
      <c r="Q44" s="36">
        <v>0.26981290000000002</v>
      </c>
      <c r="R44" s="36">
        <v>0.40070840000000002</v>
      </c>
      <c r="S44" s="36">
        <v>8.1906999999999994E-2</v>
      </c>
    </row>
    <row r="45" spans="1:19" x14ac:dyDescent="0.25">
      <c r="A45" s="2">
        <v>34</v>
      </c>
      <c r="B45" s="32">
        <v>198350.5</v>
      </c>
      <c r="C45" s="6">
        <f t="shared" si="5"/>
        <v>0.1715603603783884</v>
      </c>
      <c r="D45" s="6">
        <f t="shared" si="12"/>
        <v>9.6685470678001609E-2</v>
      </c>
      <c r="E45" s="9">
        <f t="shared" si="6"/>
        <v>32.194425019587612</v>
      </c>
      <c r="F45" s="7">
        <f t="shared" si="0"/>
        <v>34</v>
      </c>
      <c r="G45" s="7">
        <f t="shared" si="7"/>
        <v>34.787500000000001</v>
      </c>
      <c r="H45" s="7">
        <f t="shared" si="8"/>
        <v>0.30985930131628947</v>
      </c>
      <c r="I45" s="7">
        <f t="shared" si="9"/>
        <v>0.27166528626794195</v>
      </c>
      <c r="J45" t="b">
        <f t="shared" si="1"/>
        <v>0</v>
      </c>
      <c r="K45" s="7">
        <f t="shared" si="2"/>
        <v>29</v>
      </c>
      <c r="L45" s="7">
        <f t="shared" si="10"/>
        <v>-5</v>
      </c>
      <c r="M45">
        <f t="shared" si="3"/>
        <v>0</v>
      </c>
      <c r="N45">
        <f t="shared" si="4"/>
        <v>0</v>
      </c>
      <c r="O45" s="3">
        <f t="shared" si="11"/>
        <v>232548.86206896551</v>
      </c>
      <c r="P45" s="36">
        <v>0.66627594416328395</v>
      </c>
      <c r="Q45" s="36">
        <v>0.22971739999999999</v>
      </c>
      <c r="R45" s="36">
        <v>0.42053049999999997</v>
      </c>
      <c r="S45" s="36">
        <v>4.4749499999999998E-2</v>
      </c>
    </row>
    <row r="46" spans="1:19" x14ac:dyDescent="0.25">
      <c r="A46" s="2">
        <v>35</v>
      </c>
      <c r="B46" s="32">
        <v>5915070</v>
      </c>
      <c r="C46" s="6">
        <f t="shared" si="5"/>
        <v>0.21498679764670786</v>
      </c>
      <c r="D46" s="6">
        <f t="shared" si="12"/>
        <v>9.7930888201224822E-2</v>
      </c>
      <c r="E46" s="9">
        <f t="shared" si="6"/>
        <v>33.194425019587612</v>
      </c>
      <c r="F46" s="7">
        <f t="shared" si="0"/>
        <v>35</v>
      </c>
      <c r="G46" s="7">
        <f t="shared" si="7"/>
        <v>35.787500000000001</v>
      </c>
      <c r="H46" s="7">
        <f t="shared" si="8"/>
        <v>0.30086691879550098</v>
      </c>
      <c r="I46" s="7">
        <f t="shared" si="9"/>
        <v>0.28724176394101519</v>
      </c>
      <c r="J46" t="b">
        <f t="shared" si="1"/>
        <v>0</v>
      </c>
      <c r="K46" s="7">
        <f t="shared" si="2"/>
        <v>29</v>
      </c>
      <c r="L46" s="7">
        <f t="shared" si="10"/>
        <v>-6</v>
      </c>
      <c r="M46">
        <f t="shared" si="3"/>
        <v>1</v>
      </c>
      <c r="N46">
        <f t="shared" si="4"/>
        <v>0</v>
      </c>
      <c r="O46" s="3">
        <f t="shared" si="11"/>
        <v>7138877.5862068962</v>
      </c>
      <c r="P46" s="36">
        <v>0.56215447999770085</v>
      </c>
      <c r="Q46" s="36">
        <v>0.2198812</v>
      </c>
      <c r="R46" s="36">
        <v>0.39395010000000003</v>
      </c>
      <c r="S46" s="36">
        <v>5.0519399999999999E-2</v>
      </c>
    </row>
    <row r="47" spans="1:19" x14ac:dyDescent="0.25">
      <c r="A47" s="2">
        <v>36</v>
      </c>
      <c r="B47" s="32">
        <v>1647393</v>
      </c>
      <c r="C47" s="6">
        <f t="shared" si="5"/>
        <v>0.22708139817903777</v>
      </c>
      <c r="D47" s="6">
        <f t="shared" si="12"/>
        <v>0.13616321134787962</v>
      </c>
      <c r="E47" s="9">
        <f t="shared" si="6"/>
        <v>34.194425019587612</v>
      </c>
      <c r="F47" s="7">
        <f t="shared" si="0"/>
        <v>36</v>
      </c>
      <c r="G47" s="7">
        <f t="shared" si="7"/>
        <v>36.787500000000001</v>
      </c>
      <c r="H47" s="7">
        <f t="shared" si="8"/>
        <v>0.29238197560783263</v>
      </c>
      <c r="I47" s="7">
        <f t="shared" si="9"/>
        <v>0.30645008269467489</v>
      </c>
      <c r="J47" t="b">
        <f t="shared" si="1"/>
        <v>0</v>
      </c>
      <c r="K47" s="7">
        <f t="shared" si="2"/>
        <v>36.787500000000001</v>
      </c>
      <c r="L47" s="7">
        <f t="shared" si="10"/>
        <v>0.78750000000000142</v>
      </c>
      <c r="M47">
        <f t="shared" si="3"/>
        <v>1</v>
      </c>
      <c r="N47">
        <f t="shared" si="4"/>
        <v>1</v>
      </c>
      <c r="O47" s="3">
        <f t="shared" si="11"/>
        <v>1612127.7064220184</v>
      </c>
      <c r="P47" s="36">
        <v>0.72214478000759019</v>
      </c>
      <c r="Q47" s="36">
        <v>0.26112200000000002</v>
      </c>
      <c r="R47" s="36">
        <v>0.47304990000000002</v>
      </c>
      <c r="S47" s="36">
        <v>3.48013E-2</v>
      </c>
    </row>
    <row r="48" spans="1:19" x14ac:dyDescent="0.25">
      <c r="A48" s="2">
        <v>37</v>
      </c>
      <c r="B48" s="32">
        <v>822001.4</v>
      </c>
      <c r="C48" s="6">
        <f t="shared" si="5"/>
        <v>0.23311625359606086</v>
      </c>
      <c r="D48" s="6">
        <f t="shared" si="12"/>
        <v>0.14711543925253351</v>
      </c>
      <c r="E48" s="9">
        <f t="shared" si="6"/>
        <v>35.194425019587612</v>
      </c>
      <c r="F48" s="7">
        <f t="shared" si="0"/>
        <v>37</v>
      </c>
      <c r="G48" s="7">
        <f t="shared" si="7"/>
        <v>37.787500000000001</v>
      </c>
      <c r="H48" s="7">
        <f t="shared" si="8"/>
        <v>0.28436268068133402</v>
      </c>
      <c r="I48" s="7">
        <f t="shared" si="9"/>
        <v>0.32908083606699323</v>
      </c>
      <c r="J48" t="b">
        <f t="shared" si="1"/>
        <v>0</v>
      </c>
      <c r="K48" s="7">
        <f t="shared" si="2"/>
        <v>37.787500000000001</v>
      </c>
      <c r="L48" s="7">
        <f t="shared" si="10"/>
        <v>0.78750000000000142</v>
      </c>
      <c r="M48">
        <f t="shared" si="3"/>
        <v>1</v>
      </c>
      <c r="N48">
        <f t="shared" si="4"/>
        <v>1</v>
      </c>
      <c r="O48" s="3">
        <f t="shared" si="11"/>
        <v>804870.7059212703</v>
      </c>
      <c r="P48" s="36">
        <v>0.74376864496543005</v>
      </c>
      <c r="Q48" s="36">
        <v>0.27591120000000002</v>
      </c>
      <c r="R48" s="36">
        <v>0.490504</v>
      </c>
      <c r="S48" s="36">
        <v>3.9243E-2</v>
      </c>
    </row>
    <row r="49" spans="1:19" x14ac:dyDescent="0.25">
      <c r="A49" s="2">
        <v>38</v>
      </c>
      <c r="B49" s="32">
        <v>1667259</v>
      </c>
      <c r="C49" s="6">
        <f t="shared" si="5"/>
        <v>0.24535670356090339</v>
      </c>
      <c r="D49" s="6">
        <f t="shared" si="12"/>
        <v>0.15273208504813549</v>
      </c>
      <c r="E49" s="9">
        <f t="shared" si="6"/>
        <v>36.194425019587612</v>
      </c>
      <c r="F49" s="7">
        <f t="shared" si="0"/>
        <v>38</v>
      </c>
      <c r="G49" s="7">
        <f t="shared" si="7"/>
        <v>38.787500000000001</v>
      </c>
      <c r="H49" s="7">
        <f t="shared" si="8"/>
        <v>0.2767717111461041</v>
      </c>
      <c r="I49" s="7">
        <f t="shared" si="9"/>
        <v>0.35494222233883377</v>
      </c>
      <c r="J49" t="b">
        <f t="shared" si="1"/>
        <v>0</v>
      </c>
      <c r="K49" s="7">
        <f t="shared" si="2"/>
        <v>38.787500000000001</v>
      </c>
      <c r="L49" s="7">
        <f t="shared" si="10"/>
        <v>0.78750000000000142</v>
      </c>
      <c r="M49">
        <f t="shared" si="3"/>
        <v>1</v>
      </c>
      <c r="N49">
        <f t="shared" si="4"/>
        <v>1</v>
      </c>
      <c r="O49" s="3">
        <f t="shared" si="11"/>
        <v>1633408.7528198517</v>
      </c>
      <c r="P49" s="36">
        <v>0.72079676182207131</v>
      </c>
      <c r="Q49" s="36">
        <v>0.29535980000000001</v>
      </c>
      <c r="R49" s="36">
        <v>0.46744780000000002</v>
      </c>
      <c r="S49" s="36">
        <v>3.9285800000000003E-2</v>
      </c>
    </row>
    <row r="50" spans="1:19" x14ac:dyDescent="0.25">
      <c r="A50" s="2">
        <v>39</v>
      </c>
      <c r="B50" s="32">
        <v>213584</v>
      </c>
      <c r="C50" s="6">
        <f t="shared" si="5"/>
        <v>0.24692476483110251</v>
      </c>
      <c r="D50" s="6">
        <f t="shared" si="12"/>
        <v>0.16443218097537801</v>
      </c>
      <c r="E50" s="9">
        <f t="shared" si="6"/>
        <v>37.194425019587612</v>
      </c>
      <c r="F50" s="7">
        <f t="shared" si="0"/>
        <v>39</v>
      </c>
      <c r="G50" s="7">
        <f t="shared" si="7"/>
        <v>39.787500000000001</v>
      </c>
      <c r="H50" s="7">
        <f t="shared" si="8"/>
        <v>0.26957563049940148</v>
      </c>
      <c r="I50" s="7">
        <f t="shared" si="9"/>
        <v>0.38385812484003967</v>
      </c>
      <c r="J50" t="b">
        <f t="shared" si="1"/>
        <v>0</v>
      </c>
      <c r="K50" s="7">
        <f t="shared" si="2"/>
        <v>39.787500000000001</v>
      </c>
      <c r="L50" s="7">
        <f t="shared" si="10"/>
        <v>0.78750000000000142</v>
      </c>
      <c r="M50">
        <f t="shared" si="3"/>
        <v>1</v>
      </c>
      <c r="N50">
        <f t="shared" si="4"/>
        <v>1</v>
      </c>
      <c r="O50" s="3">
        <f t="shared" si="11"/>
        <v>209356.6069745523</v>
      </c>
      <c r="P50" s="36">
        <v>0.54418855453806381</v>
      </c>
      <c r="Q50" s="36">
        <v>0.2962032</v>
      </c>
      <c r="R50" s="36">
        <v>0.45626159999999999</v>
      </c>
      <c r="S50" s="36">
        <v>2.7567700000000001E-2</v>
      </c>
    </row>
    <row r="51" spans="1:19" x14ac:dyDescent="0.25">
      <c r="A51" s="2">
        <v>40</v>
      </c>
      <c r="B51" s="32">
        <v>70800000</v>
      </c>
      <c r="C51" s="6">
        <f t="shared" si="5"/>
        <v>0.76671434612042266</v>
      </c>
      <c r="D51" s="6">
        <f t="shared" si="12"/>
        <v>0.16597046340010599</v>
      </c>
      <c r="E51" s="9">
        <f t="shared" si="6"/>
        <v>38.194425019587612</v>
      </c>
      <c r="F51" s="7">
        <f t="shared" ref="F51:F82" si="13">$A51-$B$5*$B$12*$B$4*$B$9</f>
        <v>40</v>
      </c>
      <c r="G51" s="7">
        <f t="shared" si="7"/>
        <v>40.787500000000001</v>
      </c>
      <c r="H51" s="7">
        <f t="shared" si="8"/>
        <v>0.26274439541230576</v>
      </c>
      <c r="I51" s="7">
        <f t="shared" si="9"/>
        <v>0.41566644699079058</v>
      </c>
      <c r="J51" t="b">
        <f t="shared" ref="J51:J82" si="14">F51&lt;=$B$14</f>
        <v>0</v>
      </c>
      <c r="K51" s="7">
        <f t="shared" ref="K51:K82" si="15">IF(J51,F51,IF(H51&lt;I51,G51,$B$14))</f>
        <v>40.787500000000001</v>
      </c>
      <c r="L51" s="7">
        <f t="shared" si="10"/>
        <v>0.78750000000000142</v>
      </c>
      <c r="M51">
        <f t="shared" ref="M51:M82" si="16">IF($A51&gt;$B$15,1,0)</f>
        <v>1</v>
      </c>
      <c r="N51">
        <f t="shared" ref="N51:N82" si="17">IF($K51&gt;$B$15,1,0)</f>
        <v>1</v>
      </c>
      <c r="O51" s="3">
        <f t="shared" si="11"/>
        <v>69433037.082439467</v>
      </c>
      <c r="P51" s="36">
        <v>0.45564382461173775</v>
      </c>
      <c r="Q51" s="36">
        <v>0.23302239999999999</v>
      </c>
      <c r="R51" s="36">
        <v>0.51070130000000002</v>
      </c>
      <c r="S51" s="36">
        <v>2.83787E-2</v>
      </c>
    </row>
    <row r="52" spans="1:19" x14ac:dyDescent="0.25">
      <c r="A52" s="2">
        <v>41</v>
      </c>
      <c r="B52" s="32">
        <v>92662.9</v>
      </c>
      <c r="C52" s="6">
        <f t="shared" ref="C52:C77" si="18">B52/$B$105+C51</f>
        <v>0.76739464569658167</v>
      </c>
      <c r="D52" s="6">
        <f t="shared" si="12"/>
        <v>0.68896361793747007</v>
      </c>
      <c r="E52" s="9">
        <f t="shared" si="6"/>
        <v>39.194425019587612</v>
      </c>
      <c r="F52" s="7">
        <f t="shared" si="13"/>
        <v>41</v>
      </c>
      <c r="G52" s="7">
        <f t="shared" si="7"/>
        <v>41.787500000000001</v>
      </c>
      <c r="H52" s="7">
        <f t="shared" si="8"/>
        <v>0.25625093580774533</v>
      </c>
      <c r="I52" s="7">
        <f t="shared" si="9"/>
        <v>0.45021766256187667</v>
      </c>
      <c r="J52" t="b">
        <f t="shared" si="14"/>
        <v>0</v>
      </c>
      <c r="K52" s="7">
        <f t="shared" si="15"/>
        <v>41.787500000000001</v>
      </c>
      <c r="L52" s="7">
        <f t="shared" si="10"/>
        <v>0.78750000000000142</v>
      </c>
      <c r="M52">
        <f t="shared" si="16"/>
        <v>1</v>
      </c>
      <c r="N52">
        <f t="shared" si="17"/>
        <v>1</v>
      </c>
      <c r="O52" s="3">
        <f t="shared" si="11"/>
        <v>90916.635357463354</v>
      </c>
      <c r="P52" s="36">
        <v>0.33583847472936851</v>
      </c>
      <c r="Q52" s="36">
        <v>0.27163860000000001</v>
      </c>
      <c r="R52" s="36">
        <v>0.50415109999999996</v>
      </c>
      <c r="S52" s="36">
        <v>3.4627400000000003E-2</v>
      </c>
    </row>
    <row r="53" spans="1:19" x14ac:dyDescent="0.25">
      <c r="A53" s="2">
        <v>42</v>
      </c>
      <c r="B53" s="32">
        <v>690234</v>
      </c>
      <c r="C53" s="6">
        <f t="shared" si="18"/>
        <v>0.77246210956454286</v>
      </c>
      <c r="D53" s="6">
        <f t="shared" si="12"/>
        <v>0.68966522265412356</v>
      </c>
      <c r="E53" s="9">
        <f t="shared" si="6"/>
        <v>40.194425019587612</v>
      </c>
      <c r="F53" s="7">
        <f t="shared" si="13"/>
        <v>42</v>
      </c>
      <c r="G53" s="7">
        <f t="shared" si="7"/>
        <v>42.787500000000001</v>
      </c>
      <c r="H53" s="7">
        <f t="shared" si="8"/>
        <v>0.2500707958129107</v>
      </c>
      <c r="I53" s="7">
        <f t="shared" si="9"/>
        <v>0.48737354860945448</v>
      </c>
      <c r="J53" t="b">
        <f t="shared" si="14"/>
        <v>0</v>
      </c>
      <c r="K53" s="7">
        <f t="shared" si="15"/>
        <v>42.787500000000001</v>
      </c>
      <c r="L53" s="7">
        <f t="shared" si="10"/>
        <v>0.78750000000000142</v>
      </c>
      <c r="M53">
        <f t="shared" si="16"/>
        <v>1</v>
      </c>
      <c r="N53">
        <f t="shared" si="17"/>
        <v>1</v>
      </c>
      <c r="O53" s="3">
        <f t="shared" si="11"/>
        <v>677530.30674846622</v>
      </c>
      <c r="P53" s="36">
        <v>0.4412273518835641</v>
      </c>
      <c r="Q53" s="36">
        <v>0.29160639999999999</v>
      </c>
      <c r="R53" s="36">
        <v>0.53970450000000003</v>
      </c>
      <c r="S53" s="36">
        <v>1.6355999999999999E-2</v>
      </c>
    </row>
    <row r="54" spans="1:19" x14ac:dyDescent="0.25">
      <c r="A54" s="2">
        <v>43</v>
      </c>
      <c r="B54" s="32">
        <v>396101.2</v>
      </c>
      <c r="C54" s="6">
        <f t="shared" si="18"/>
        <v>0.77537015019866995</v>
      </c>
      <c r="D54" s="6">
        <f t="shared" si="12"/>
        <v>0.69501885316090872</v>
      </c>
      <c r="E54" s="9">
        <f t="shared" si="6"/>
        <v>41.194425019587612</v>
      </c>
      <c r="F54" s="7">
        <f t="shared" si="13"/>
        <v>43</v>
      </c>
      <c r="G54" s="7">
        <f t="shared" si="7"/>
        <v>43.787500000000001</v>
      </c>
      <c r="H54" s="7">
        <f t="shared" si="8"/>
        <v>0.24418182553034479</v>
      </c>
      <c r="I54" s="7">
        <f t="shared" si="9"/>
        <v>0.52700607414044021</v>
      </c>
      <c r="J54" t="b">
        <f t="shared" si="14"/>
        <v>0</v>
      </c>
      <c r="K54" s="7">
        <f t="shared" si="15"/>
        <v>43.787500000000001</v>
      </c>
      <c r="L54" s="7">
        <f t="shared" si="10"/>
        <v>0.78750000000000142</v>
      </c>
      <c r="M54">
        <f t="shared" si="16"/>
        <v>1</v>
      </c>
      <c r="N54">
        <f t="shared" si="17"/>
        <v>1</v>
      </c>
      <c r="O54" s="3">
        <f t="shared" si="11"/>
        <v>388977.48444190697</v>
      </c>
      <c r="P54" s="36">
        <v>0.44351573965069491</v>
      </c>
      <c r="Q54" s="36">
        <v>0.30588710000000002</v>
      </c>
      <c r="R54" s="36">
        <v>0.55631969999999997</v>
      </c>
      <c r="S54" s="36">
        <v>2.61645E-2</v>
      </c>
    </row>
    <row r="55" spans="1:19" x14ac:dyDescent="0.25">
      <c r="A55" s="2">
        <v>44</v>
      </c>
      <c r="B55" s="32">
        <v>421844.8</v>
      </c>
      <c r="C55" s="6">
        <f t="shared" si="18"/>
        <v>0.77846719161054956</v>
      </c>
      <c r="D55" s="6">
        <f t="shared" si="12"/>
        <v>0.69816426392802511</v>
      </c>
      <c r="E55" s="9">
        <f t="shared" si="6"/>
        <v>42.194425019587612</v>
      </c>
      <c r="F55" s="7">
        <f t="shared" si="13"/>
        <v>44</v>
      </c>
      <c r="G55" s="7">
        <f t="shared" si="7"/>
        <v>44.787500000000001</v>
      </c>
      <c r="H55" s="7">
        <f t="shared" si="8"/>
        <v>0.23856391542714384</v>
      </c>
      <c r="I55" s="7">
        <f t="shared" si="9"/>
        <v>0.56899642209013057</v>
      </c>
      <c r="J55" t="b">
        <f t="shared" si="14"/>
        <v>0</v>
      </c>
      <c r="K55" s="7">
        <f t="shared" si="15"/>
        <v>44.787500000000001</v>
      </c>
      <c r="L55" s="7">
        <f t="shared" si="10"/>
        <v>0.78750000000000142</v>
      </c>
      <c r="M55">
        <f t="shared" si="16"/>
        <v>1</v>
      </c>
      <c r="N55">
        <f t="shared" si="17"/>
        <v>1</v>
      </c>
      <c r="O55" s="3">
        <f t="shared" si="11"/>
        <v>414427.48981300584</v>
      </c>
      <c r="P55" s="36">
        <v>0.33487011502192815</v>
      </c>
      <c r="Q55" s="36">
        <v>0.24781359999999999</v>
      </c>
      <c r="R55" s="36">
        <v>0.56446580000000002</v>
      </c>
      <c r="S55" s="36">
        <v>2.0779800000000001E-2</v>
      </c>
    </row>
    <row r="56" spans="1:19" x14ac:dyDescent="0.25">
      <c r="A56" s="2">
        <v>45</v>
      </c>
      <c r="B56" s="32">
        <v>6143031</v>
      </c>
      <c r="C56" s="6">
        <f t="shared" si="18"/>
        <v>0.82356724120570934</v>
      </c>
      <c r="D56" s="6">
        <f t="shared" si="12"/>
        <v>0.70159200597526949</v>
      </c>
      <c r="E56" s="9">
        <f t="shared" si="6"/>
        <v>43.194425019587612</v>
      </c>
      <c r="F56" s="7">
        <f t="shared" si="13"/>
        <v>45</v>
      </c>
      <c r="G56" s="7">
        <f t="shared" si="7"/>
        <v>45.787500000000001</v>
      </c>
      <c r="H56" s="7">
        <f t="shared" si="8"/>
        <v>0.23319876662042313</v>
      </c>
      <c r="I56" s="7">
        <f t="shared" si="9"/>
        <v>0.61323412587072645</v>
      </c>
      <c r="J56" t="b">
        <f t="shared" si="14"/>
        <v>0</v>
      </c>
      <c r="K56" s="7">
        <f t="shared" si="15"/>
        <v>45.787500000000001</v>
      </c>
      <c r="L56" s="7">
        <f t="shared" si="10"/>
        <v>0.78750000000000142</v>
      </c>
      <c r="M56">
        <f t="shared" si="16"/>
        <v>1</v>
      </c>
      <c r="N56">
        <f t="shared" si="17"/>
        <v>1</v>
      </c>
      <c r="O56" s="3">
        <f t="shared" si="11"/>
        <v>6037376.9041769039</v>
      </c>
      <c r="P56" s="36">
        <v>0.36391779712251804</v>
      </c>
      <c r="Q56" s="36">
        <v>0.25828610000000002</v>
      </c>
      <c r="R56" s="36">
        <v>0.58621040000000002</v>
      </c>
      <c r="S56" s="36">
        <v>2.1669600000000001E-2</v>
      </c>
    </row>
    <row r="57" spans="1:19" x14ac:dyDescent="0.25">
      <c r="A57" s="2">
        <v>46</v>
      </c>
      <c r="B57" s="32">
        <v>205670.1</v>
      </c>
      <c r="C57" s="6">
        <f t="shared" si="18"/>
        <v>0.82507720130687789</v>
      </c>
      <c r="D57" s="6">
        <f t="shared" si="12"/>
        <v>0.75264226806919143</v>
      </c>
      <c r="E57" s="9">
        <f t="shared" si="6"/>
        <v>44.194425019587612</v>
      </c>
      <c r="F57" s="7">
        <f t="shared" si="13"/>
        <v>46</v>
      </c>
      <c r="G57" s="7">
        <f t="shared" si="7"/>
        <v>46.787500000000001</v>
      </c>
      <c r="H57" s="7">
        <f t="shared" si="8"/>
        <v>0.22806969152244527</v>
      </c>
      <c r="I57" s="7">
        <f t="shared" si="9"/>
        <v>0.65961630475304822</v>
      </c>
      <c r="J57" t="b">
        <f t="shared" si="14"/>
        <v>0</v>
      </c>
      <c r="K57" s="7">
        <f t="shared" si="15"/>
        <v>46.787500000000001</v>
      </c>
      <c r="L57" s="7">
        <f t="shared" si="10"/>
        <v>0.78750000000000142</v>
      </c>
      <c r="M57">
        <f t="shared" si="16"/>
        <v>1</v>
      </c>
      <c r="N57">
        <f t="shared" si="17"/>
        <v>1</v>
      </c>
      <c r="O57" s="3">
        <f t="shared" si="11"/>
        <v>202208.38044349451</v>
      </c>
      <c r="P57" s="36">
        <v>0.43607191944070439</v>
      </c>
      <c r="Q57" s="36">
        <v>0.37436209999999998</v>
      </c>
      <c r="R57" s="36">
        <v>0.50548329999999997</v>
      </c>
      <c r="S57" s="36">
        <v>6.7895999999999998E-3</v>
      </c>
    </row>
    <row r="58" spans="1:19" x14ac:dyDescent="0.25">
      <c r="A58" s="2">
        <v>47</v>
      </c>
      <c r="B58" s="32">
        <v>153490.29999999999</v>
      </c>
      <c r="C58" s="6">
        <f t="shared" si="18"/>
        <v>0.82620407501830406</v>
      </c>
      <c r="D58" s="6">
        <f t="shared" si="12"/>
        <v>0.75438942431992539</v>
      </c>
      <c r="E58" s="9">
        <f t="shared" si="6"/>
        <v>45.194425019587612</v>
      </c>
      <c r="F58" s="7">
        <f t="shared" si="13"/>
        <v>47</v>
      </c>
      <c r="G58" s="7">
        <f t="shared" si="7"/>
        <v>47.787500000000001</v>
      </c>
      <c r="H58" s="7">
        <f t="shared" si="8"/>
        <v>0.22316144026397322</v>
      </c>
      <c r="I58" s="7">
        <f t="shared" si="9"/>
        <v>0.70804698480939965</v>
      </c>
      <c r="J58" t="b">
        <f t="shared" si="14"/>
        <v>0</v>
      </c>
      <c r="K58" s="7">
        <f t="shared" si="15"/>
        <v>47.787500000000001</v>
      </c>
      <c r="L58" s="7">
        <f t="shared" si="10"/>
        <v>0.78750000000000142</v>
      </c>
      <c r="M58">
        <f t="shared" si="16"/>
        <v>1</v>
      </c>
      <c r="N58">
        <f t="shared" si="17"/>
        <v>1</v>
      </c>
      <c r="O58" s="3">
        <f t="shared" si="11"/>
        <v>150960.90190949515</v>
      </c>
      <c r="P58" s="36">
        <v>0.41751106861548043</v>
      </c>
      <c r="Q58" s="36">
        <v>0.29114990000000002</v>
      </c>
      <c r="R58" s="36">
        <v>0.54879549999999999</v>
      </c>
      <c r="S58" s="36">
        <v>2.51931E-2</v>
      </c>
    </row>
    <row r="59" spans="1:19" x14ac:dyDescent="0.25">
      <c r="A59" s="2">
        <v>48</v>
      </c>
      <c r="B59" s="32">
        <v>1108012</v>
      </c>
      <c r="C59" s="6">
        <f t="shared" si="18"/>
        <v>0.83433872323219593</v>
      </c>
      <c r="D59" s="6">
        <f t="shared" si="12"/>
        <v>0.75572166149535991</v>
      </c>
      <c r="E59" s="9">
        <f t="shared" si="6"/>
        <v>46.194425019587612</v>
      </c>
      <c r="F59" s="7">
        <f t="shared" si="13"/>
        <v>48</v>
      </c>
      <c r="G59" s="7">
        <f t="shared" si="7"/>
        <v>48.787500000000001</v>
      </c>
      <c r="H59" s="7">
        <f t="shared" si="8"/>
        <v>0.21846004908806418</v>
      </c>
      <c r="I59" s="7">
        <f t="shared" si="9"/>
        <v>0.75843649417944137</v>
      </c>
      <c r="J59" t="b">
        <f t="shared" si="14"/>
        <v>0</v>
      </c>
      <c r="K59" s="7">
        <f t="shared" si="15"/>
        <v>48.787500000000001</v>
      </c>
      <c r="L59" s="7">
        <f t="shared" si="10"/>
        <v>0.78750000000000142</v>
      </c>
      <c r="M59">
        <f t="shared" si="16"/>
        <v>1</v>
      </c>
      <c r="N59">
        <f t="shared" si="17"/>
        <v>1</v>
      </c>
      <c r="O59" s="3">
        <f t="shared" si="11"/>
        <v>1090127.1022290546</v>
      </c>
      <c r="P59" s="36">
        <v>0.30584328509077524</v>
      </c>
      <c r="Q59" s="36">
        <v>0.24563009999999999</v>
      </c>
      <c r="R59" s="36">
        <v>0.52065260000000002</v>
      </c>
      <c r="S59" s="36">
        <v>2.0755900000000001E-2</v>
      </c>
    </row>
    <row r="60" spans="1:19" x14ac:dyDescent="0.25">
      <c r="A60" s="2">
        <v>49</v>
      </c>
      <c r="B60" s="32">
        <v>77834.45</v>
      </c>
      <c r="C60" s="6">
        <f t="shared" si="18"/>
        <v>0.8349101573589669</v>
      </c>
      <c r="D60" s="6">
        <f t="shared" si="12"/>
        <v>0.76554340202324556</v>
      </c>
      <c r="E60" s="9">
        <f t="shared" si="6"/>
        <v>47.194425019587612</v>
      </c>
      <c r="F60" s="7">
        <f t="shared" si="13"/>
        <v>49</v>
      </c>
      <c r="G60" s="7">
        <f t="shared" si="7"/>
        <v>49.787500000000001</v>
      </c>
      <c r="H60" s="7">
        <f t="shared" si="8"/>
        <v>0.21395270753619061</v>
      </c>
      <c r="I60" s="7">
        <f t="shared" si="9"/>
        <v>0.81070092310620867</v>
      </c>
      <c r="J60" t="b">
        <f t="shared" si="14"/>
        <v>0</v>
      </c>
      <c r="K60" s="7">
        <f t="shared" si="15"/>
        <v>49.787500000000001</v>
      </c>
      <c r="L60" s="7">
        <f t="shared" si="10"/>
        <v>0.78750000000000142</v>
      </c>
      <c r="M60">
        <f t="shared" si="16"/>
        <v>1</v>
      </c>
      <c r="N60">
        <f t="shared" si="17"/>
        <v>1</v>
      </c>
      <c r="O60" s="3">
        <f t="shared" si="11"/>
        <v>76603.325131810183</v>
      </c>
      <c r="P60" s="36">
        <v>0.44004271579192589</v>
      </c>
      <c r="Q60" s="36">
        <v>0.25268089999999999</v>
      </c>
      <c r="R60" s="36">
        <v>0.61686960000000002</v>
      </c>
      <c r="S60" s="36">
        <v>0</v>
      </c>
    </row>
    <row r="61" spans="1:19" x14ac:dyDescent="0.25">
      <c r="A61" s="2">
        <v>50</v>
      </c>
      <c r="B61" s="32">
        <v>10100000</v>
      </c>
      <c r="C61" s="6">
        <f t="shared" si="18"/>
        <v>0.9090609309609744</v>
      </c>
      <c r="D61" s="6">
        <f t="shared" si="12"/>
        <v>0.76624772311869815</v>
      </c>
      <c r="E61" s="9">
        <f t="shared" si="6"/>
        <v>48.194425019587612</v>
      </c>
      <c r="F61" s="7">
        <f t="shared" si="13"/>
        <v>50</v>
      </c>
      <c r="G61" s="7">
        <f t="shared" si="7"/>
        <v>50.787500000000001</v>
      </c>
      <c r="H61" s="7">
        <f t="shared" si="8"/>
        <v>0.20962764176344501</v>
      </c>
      <c r="I61" s="7">
        <f t="shared" si="9"/>
        <v>0.86476164059189176</v>
      </c>
      <c r="J61" t="b">
        <f t="shared" si="14"/>
        <v>0</v>
      </c>
      <c r="K61" s="7">
        <f t="shared" si="15"/>
        <v>50.787500000000001</v>
      </c>
      <c r="L61" s="7">
        <f t="shared" si="10"/>
        <v>0.78750000000000142</v>
      </c>
      <c r="M61">
        <f t="shared" si="16"/>
        <v>1</v>
      </c>
      <c r="N61">
        <f t="shared" si="17"/>
        <v>1</v>
      </c>
      <c r="O61" s="3">
        <f t="shared" si="11"/>
        <v>9943391.5825744513</v>
      </c>
      <c r="P61" s="36">
        <v>0.3032477864986225</v>
      </c>
      <c r="Q61" s="36">
        <v>0.22415679999999999</v>
      </c>
      <c r="R61" s="36">
        <v>0.63882879999999997</v>
      </c>
      <c r="S61" s="36">
        <v>2.2637299999999999E-2</v>
      </c>
    </row>
    <row r="62" spans="1:19" x14ac:dyDescent="0.25">
      <c r="A62" s="2">
        <v>51</v>
      </c>
      <c r="B62" s="32">
        <v>19376.21</v>
      </c>
      <c r="C62" s="6">
        <f t="shared" si="18"/>
        <v>0.90920318452146698</v>
      </c>
      <c r="D62" s="6">
        <f t="shared" si="12"/>
        <v>0.85950744876889895</v>
      </c>
      <c r="E62" s="9">
        <f t="shared" si="6"/>
        <v>49.194425019587612</v>
      </c>
      <c r="F62" s="7">
        <f t="shared" si="13"/>
        <v>51</v>
      </c>
      <c r="G62" s="7">
        <f t="shared" si="7"/>
        <v>51.787500000000001</v>
      </c>
      <c r="H62" s="7">
        <f t="shared" si="8"/>
        <v>0.20547401174249827</v>
      </c>
      <c r="I62" s="7">
        <f t="shared" si="9"/>
        <v>0.92054486069500341</v>
      </c>
      <c r="J62" t="b">
        <f t="shared" si="14"/>
        <v>0</v>
      </c>
      <c r="K62" s="7">
        <f t="shared" si="15"/>
        <v>51.787500000000001</v>
      </c>
      <c r="L62" s="7">
        <f t="shared" si="10"/>
        <v>0.78750000000000142</v>
      </c>
      <c r="M62">
        <f t="shared" si="16"/>
        <v>1</v>
      </c>
      <c r="N62">
        <f t="shared" si="17"/>
        <v>1</v>
      </c>
      <c r="O62" s="3">
        <f t="shared" si="11"/>
        <v>19081.568139029689</v>
      </c>
      <c r="P62" s="36">
        <v>0.26537239064064738</v>
      </c>
      <c r="Q62" s="36">
        <v>5.2831799999999998E-2</v>
      </c>
      <c r="R62" s="36">
        <v>0.4348612</v>
      </c>
      <c r="S62" s="36">
        <v>0.3041353</v>
      </c>
    </row>
    <row r="63" spans="1:19" x14ac:dyDescent="0.25">
      <c r="A63" s="2">
        <v>52</v>
      </c>
      <c r="B63" s="32">
        <v>1296780</v>
      </c>
      <c r="C63" s="6">
        <f t="shared" si="18"/>
        <v>0.91872370335231957</v>
      </c>
      <c r="D63" s="6">
        <f t="shared" si="12"/>
        <v>0.85968993990051434</v>
      </c>
      <c r="E63" s="9">
        <f t="shared" si="6"/>
        <v>50.194425019587612</v>
      </c>
      <c r="F63" s="7">
        <f t="shared" si="13"/>
        <v>52</v>
      </c>
      <c r="G63" s="7">
        <f t="shared" si="7"/>
        <v>52.787500000000001</v>
      </c>
      <c r="H63" s="7">
        <f t="shared" si="8"/>
        <v>0.20148182046474217</v>
      </c>
      <c r="I63" s="7">
        <f t="shared" si="9"/>
        <v>0.97798125247383949</v>
      </c>
      <c r="J63" t="b">
        <f t="shared" si="14"/>
        <v>0</v>
      </c>
      <c r="K63" s="7">
        <f t="shared" si="15"/>
        <v>52.787500000000001</v>
      </c>
      <c r="L63" s="7">
        <f t="shared" si="10"/>
        <v>0.78750000000000142</v>
      </c>
      <c r="M63">
        <f t="shared" si="16"/>
        <v>1</v>
      </c>
      <c r="N63">
        <f t="shared" si="17"/>
        <v>1</v>
      </c>
      <c r="O63" s="3">
        <f t="shared" si="11"/>
        <v>1277434.2410608572</v>
      </c>
      <c r="P63" s="36">
        <v>0.46102045026124311</v>
      </c>
      <c r="Q63" s="36">
        <v>0.1730804</v>
      </c>
      <c r="R63" s="36">
        <v>0.56462840000000003</v>
      </c>
      <c r="S63" s="36">
        <v>2.0422200000000001E-2</v>
      </c>
    </row>
    <row r="64" spans="1:19" x14ac:dyDescent="0.25">
      <c r="A64" s="2">
        <v>53</v>
      </c>
      <c r="B64" s="32">
        <v>75603.33</v>
      </c>
      <c r="C64" s="6">
        <f t="shared" si="18"/>
        <v>0.91927875735295206</v>
      </c>
      <c r="D64" s="6">
        <f t="shared" si="12"/>
        <v>0.87214289444604054</v>
      </c>
      <c r="E64" s="9">
        <f t="shared" si="6"/>
        <v>51.194425019587612</v>
      </c>
      <c r="F64" s="7">
        <f t="shared" si="13"/>
        <v>53</v>
      </c>
      <c r="G64" s="7">
        <f t="shared" si="7"/>
        <v>53.787500000000001</v>
      </c>
      <c r="H64" s="7">
        <f t="shared" si="8"/>
        <v>0.19764183353593129</v>
      </c>
      <c r="I64" s="7">
        <f t="shared" si="9"/>
        <v>1.037005588409162</v>
      </c>
      <c r="J64" t="b">
        <f t="shared" si="14"/>
        <v>0</v>
      </c>
      <c r="K64" s="7">
        <f t="shared" si="15"/>
        <v>53.787500000000001</v>
      </c>
      <c r="L64" s="7">
        <f t="shared" si="10"/>
        <v>0.78750000000000142</v>
      </c>
      <c r="M64">
        <f t="shared" si="16"/>
        <v>1</v>
      </c>
      <c r="N64">
        <f t="shared" si="17"/>
        <v>1</v>
      </c>
      <c r="O64" s="3">
        <f t="shared" si="11"/>
        <v>74496.425563560304</v>
      </c>
      <c r="P64" s="36">
        <v>0.187520309125004</v>
      </c>
      <c r="Q64" s="36">
        <v>0.29262549999999998</v>
      </c>
      <c r="R64" s="36">
        <v>0.60408070000000003</v>
      </c>
      <c r="S64" s="36">
        <v>0</v>
      </c>
    </row>
    <row r="65" spans="1:19" x14ac:dyDescent="0.25">
      <c r="A65" s="2">
        <v>54</v>
      </c>
      <c r="B65" s="32">
        <v>93215.23</v>
      </c>
      <c r="C65" s="6">
        <f t="shared" si="18"/>
        <v>0.91996311194859459</v>
      </c>
      <c r="D65" s="6">
        <f t="shared" si="12"/>
        <v>0.87288287370969242</v>
      </c>
      <c r="E65" s="9">
        <f t="shared" si="6"/>
        <v>52.194425019587612</v>
      </c>
      <c r="F65" s="7">
        <f t="shared" si="13"/>
        <v>54</v>
      </c>
      <c r="G65" s="7">
        <f t="shared" si="7"/>
        <v>54.787500000000001</v>
      </c>
      <c r="H65" s="7">
        <f t="shared" si="8"/>
        <v>0.19394550780377728</v>
      </c>
      <c r="I65" s="7">
        <f t="shared" si="9"/>
        <v>1.0975564268389286</v>
      </c>
      <c r="J65" t="b">
        <f t="shared" si="14"/>
        <v>0</v>
      </c>
      <c r="K65" s="7">
        <f t="shared" si="15"/>
        <v>54.787500000000001</v>
      </c>
      <c r="L65" s="7">
        <f t="shared" si="10"/>
        <v>0.78750000000000142</v>
      </c>
      <c r="M65">
        <f t="shared" si="16"/>
        <v>1</v>
      </c>
      <c r="N65">
        <f t="shared" si="17"/>
        <v>1</v>
      </c>
      <c r="O65" s="3">
        <f t="shared" si="11"/>
        <v>91875.380698151945</v>
      </c>
      <c r="P65" s="36">
        <v>0.25213222401674296</v>
      </c>
      <c r="Q65" s="36">
        <v>0.2567374</v>
      </c>
      <c r="R65" s="36">
        <v>0.48746240000000002</v>
      </c>
      <c r="S65" s="36">
        <v>3.7518799999999998E-2</v>
      </c>
    </row>
    <row r="66" spans="1:19" x14ac:dyDescent="0.25">
      <c r="A66" s="2">
        <v>55</v>
      </c>
      <c r="B66" s="32">
        <v>2501288</v>
      </c>
      <c r="C66" s="6">
        <f t="shared" si="18"/>
        <v>0.93832671988932903</v>
      </c>
      <c r="D66" s="6">
        <f t="shared" si="12"/>
        <v>0.87381244647388234</v>
      </c>
      <c r="E66" s="9">
        <f t="shared" si="6"/>
        <v>53.194425019587612</v>
      </c>
      <c r="F66" s="7">
        <f t="shared" si="13"/>
        <v>55</v>
      </c>
      <c r="G66" s="7">
        <f t="shared" si="7"/>
        <v>55.787500000000001</v>
      </c>
      <c r="H66" s="7">
        <f t="shared" si="8"/>
        <v>0.19038492785536038</v>
      </c>
      <c r="I66" s="7">
        <f t="shared" si="9"/>
        <v>1.1595758245314274</v>
      </c>
      <c r="J66" t="b">
        <f t="shared" si="14"/>
        <v>0</v>
      </c>
      <c r="K66" s="7">
        <f t="shared" si="15"/>
        <v>55.787500000000001</v>
      </c>
      <c r="L66" s="7">
        <f t="shared" si="10"/>
        <v>0.78750000000000142</v>
      </c>
      <c r="M66">
        <f t="shared" si="16"/>
        <v>1</v>
      </c>
      <c r="N66">
        <f t="shared" si="17"/>
        <v>1</v>
      </c>
      <c r="O66" s="3">
        <f t="shared" si="11"/>
        <v>2465979.6549406229</v>
      </c>
      <c r="P66" s="36">
        <v>0.29727298917413836</v>
      </c>
      <c r="Q66" s="36">
        <v>0.219777</v>
      </c>
      <c r="R66" s="36">
        <v>0.64636680000000002</v>
      </c>
      <c r="S66" s="36">
        <v>2.5354700000000001E-2</v>
      </c>
    </row>
    <row r="67" spans="1:19" x14ac:dyDescent="0.25">
      <c r="A67" s="2">
        <v>56</v>
      </c>
      <c r="B67" s="32">
        <v>249015.8</v>
      </c>
      <c r="C67" s="6">
        <f t="shared" si="18"/>
        <v>0.94015490941498481</v>
      </c>
      <c r="D67" s="6">
        <f t="shared" si="12"/>
        <v>0.89921802824787778</v>
      </c>
      <c r="E67" s="9">
        <f t="shared" si="6"/>
        <v>54.194425019587612</v>
      </c>
      <c r="F67" s="7">
        <f t="shared" si="13"/>
        <v>56</v>
      </c>
      <c r="G67" s="7">
        <f t="shared" si="7"/>
        <v>56.787500000000001</v>
      </c>
      <c r="H67" s="7">
        <f t="shared" si="8"/>
        <v>0.18695274939006626</v>
      </c>
      <c r="I67" s="7">
        <f t="shared" si="9"/>
        <v>1.2230090760283576</v>
      </c>
      <c r="J67" t="b">
        <f t="shared" si="14"/>
        <v>0</v>
      </c>
      <c r="K67" s="7">
        <f t="shared" si="15"/>
        <v>56.787500000000001</v>
      </c>
      <c r="L67" s="7">
        <f t="shared" si="10"/>
        <v>0.78750000000000142</v>
      </c>
      <c r="M67">
        <f t="shared" si="16"/>
        <v>1</v>
      </c>
      <c r="N67">
        <f t="shared" si="17"/>
        <v>1</v>
      </c>
      <c r="O67" s="3">
        <f t="shared" si="11"/>
        <v>245562.57627118641</v>
      </c>
      <c r="P67" s="36">
        <v>0.23099471418976511</v>
      </c>
      <c r="Q67" s="36">
        <v>0.18101310000000001</v>
      </c>
      <c r="R67" s="36">
        <v>0.6069483</v>
      </c>
      <c r="S67" s="36">
        <v>2.96517E-2</v>
      </c>
    </row>
    <row r="68" spans="1:19" x14ac:dyDescent="0.25">
      <c r="A68" s="2">
        <v>57</v>
      </c>
      <c r="B68" s="32">
        <v>30187.94</v>
      </c>
      <c r="C68" s="6">
        <f t="shared" si="18"/>
        <v>0.94037653902928686</v>
      </c>
      <c r="D68" s="6">
        <f t="shared" si="12"/>
        <v>0.9017932681105939</v>
      </c>
      <c r="E68" s="9">
        <f t="shared" si="6"/>
        <v>55.194425019587612</v>
      </c>
      <c r="F68" s="7">
        <f t="shared" si="13"/>
        <v>57</v>
      </c>
      <c r="G68" s="7">
        <f t="shared" si="7"/>
        <v>57.787500000000001</v>
      </c>
      <c r="H68" s="7">
        <f t="shared" si="8"/>
        <v>0.1836421486147975</v>
      </c>
      <c r="I68" s="7">
        <f t="shared" si="9"/>
        <v>1.2878044768205599</v>
      </c>
      <c r="J68" t="b">
        <f t="shared" si="14"/>
        <v>0</v>
      </c>
      <c r="K68" s="7">
        <f t="shared" si="15"/>
        <v>57.787500000000001</v>
      </c>
      <c r="L68" s="7">
        <f t="shared" si="10"/>
        <v>0.78750000000000142</v>
      </c>
      <c r="M68">
        <f t="shared" si="16"/>
        <v>1</v>
      </c>
      <c r="N68">
        <f t="shared" si="17"/>
        <v>1</v>
      </c>
      <c r="O68" s="3">
        <f t="shared" si="11"/>
        <v>29776.553406878647</v>
      </c>
      <c r="P68" s="36">
        <v>0.48320716927308266</v>
      </c>
      <c r="Q68" s="36">
        <v>0.27484189999999997</v>
      </c>
      <c r="R68" s="36">
        <v>0.65179659999999995</v>
      </c>
      <c r="S68" s="36">
        <v>0</v>
      </c>
    </row>
    <row r="69" spans="1:19" x14ac:dyDescent="0.25">
      <c r="A69" s="2">
        <v>58</v>
      </c>
      <c r="B69" s="32">
        <v>87955.02</v>
      </c>
      <c r="C69" s="6">
        <f t="shared" si="18"/>
        <v>0.94102227494762147</v>
      </c>
      <c r="D69" s="6">
        <f t="shared" si="12"/>
        <v>0.90211103679006643</v>
      </c>
      <c r="E69" s="9">
        <f t="shared" si="6"/>
        <v>56.194425019587612</v>
      </c>
      <c r="F69" s="7">
        <f t="shared" si="13"/>
        <v>58</v>
      </c>
      <c r="G69" s="7">
        <f t="shared" si="7"/>
        <v>58.787500000000001</v>
      </c>
      <c r="H69" s="7">
        <f t="shared" si="8"/>
        <v>0.18044677692713346</v>
      </c>
      <c r="I69" s="7">
        <f t="shared" si="9"/>
        <v>1.3539131077883644</v>
      </c>
      <c r="J69" t="b">
        <f t="shared" si="14"/>
        <v>0</v>
      </c>
      <c r="K69" s="7">
        <f t="shared" si="15"/>
        <v>58.787500000000001</v>
      </c>
      <c r="L69" s="7">
        <f t="shared" si="10"/>
        <v>0.78750000000000142</v>
      </c>
      <c r="M69">
        <f t="shared" si="16"/>
        <v>1</v>
      </c>
      <c r="N69">
        <f t="shared" si="17"/>
        <v>1</v>
      </c>
      <c r="O69" s="3">
        <f t="shared" si="11"/>
        <v>86776.800510312562</v>
      </c>
      <c r="P69" s="36">
        <v>0.2790711788398742</v>
      </c>
      <c r="Q69" s="36">
        <v>0.27946320000000002</v>
      </c>
      <c r="R69" s="36">
        <v>0.65358570000000005</v>
      </c>
      <c r="S69" s="36">
        <v>2.4714099999999999E-2</v>
      </c>
    </row>
    <row r="70" spans="1:19" x14ac:dyDescent="0.25">
      <c r="A70" s="2">
        <v>59</v>
      </c>
      <c r="B70" s="32">
        <v>20569.490000000002</v>
      </c>
      <c r="C70" s="6">
        <f t="shared" si="18"/>
        <v>0.94117328916505705</v>
      </c>
      <c r="D70" s="6">
        <f t="shared" si="12"/>
        <v>0.9030531245920782</v>
      </c>
      <c r="E70" s="9">
        <f t="shared" si="6"/>
        <v>57.194425019587612</v>
      </c>
      <c r="F70" s="7">
        <f t="shared" si="13"/>
        <v>59</v>
      </c>
      <c r="G70" s="7">
        <f t="shared" si="7"/>
        <v>59.787500000000001</v>
      </c>
      <c r="H70" s="7">
        <f t="shared" si="8"/>
        <v>0.1773607202527166</v>
      </c>
      <c r="I70" s="7">
        <f t="shared" si="9"/>
        <v>1.4212886386557098</v>
      </c>
      <c r="J70" t="b">
        <f t="shared" si="14"/>
        <v>0</v>
      </c>
      <c r="K70" s="7">
        <f t="shared" si="15"/>
        <v>59.787500000000001</v>
      </c>
      <c r="L70" s="7">
        <f t="shared" si="10"/>
        <v>0.78750000000000142</v>
      </c>
      <c r="M70">
        <f t="shared" si="16"/>
        <v>1</v>
      </c>
      <c r="N70">
        <f t="shared" si="17"/>
        <v>1</v>
      </c>
      <c r="O70" s="3">
        <f t="shared" si="11"/>
        <v>20298.555885427559</v>
      </c>
      <c r="P70" s="36">
        <v>0.48132803124006113</v>
      </c>
      <c r="Q70" s="36">
        <v>0.15003920000000001</v>
      </c>
      <c r="R70" s="36">
        <v>0.60867930000000003</v>
      </c>
      <c r="S70" s="36">
        <v>0</v>
      </c>
    </row>
    <row r="71" spans="1:19" x14ac:dyDescent="0.25">
      <c r="A71" s="2">
        <v>60</v>
      </c>
      <c r="B71" s="32">
        <v>4952193</v>
      </c>
      <c r="C71" s="6">
        <f t="shared" si="18"/>
        <v>0.97753061015282405</v>
      </c>
      <c r="D71" s="6">
        <f t="shared" si="12"/>
        <v>0.90327724339337667</v>
      </c>
      <c r="E71" s="9">
        <f t="shared" si="6"/>
        <v>58.194425019587612</v>
      </c>
      <c r="F71" s="7">
        <f t="shared" si="13"/>
        <v>60</v>
      </c>
      <c r="G71" s="7">
        <f t="shared" si="7"/>
        <v>60.787500000000001</v>
      </c>
      <c r="H71" s="7">
        <f t="shared" si="8"/>
        <v>0.17437846248848415</v>
      </c>
      <c r="I71" s="7">
        <f t="shared" si="9"/>
        <v>1.4898871484802809</v>
      </c>
      <c r="J71" t="b">
        <f t="shared" si="14"/>
        <v>0</v>
      </c>
      <c r="K71" s="7">
        <f t="shared" si="15"/>
        <v>60.787500000000001</v>
      </c>
      <c r="L71" s="7">
        <f t="shared" si="10"/>
        <v>0.78750000000000142</v>
      </c>
      <c r="M71">
        <f t="shared" si="16"/>
        <v>1</v>
      </c>
      <c r="N71">
        <f t="shared" si="17"/>
        <v>1</v>
      </c>
      <c r="O71" s="3">
        <f t="shared" si="11"/>
        <v>4888037.5077112895</v>
      </c>
      <c r="P71" s="36">
        <v>0.2466006219830662</v>
      </c>
      <c r="Q71" s="36">
        <v>0.21263199999999999</v>
      </c>
      <c r="R71" s="36">
        <v>0.63451679999999999</v>
      </c>
      <c r="S71" s="36">
        <v>2.7065200000000001E-2</v>
      </c>
    </row>
    <row r="72" spans="1:19" x14ac:dyDescent="0.25">
      <c r="A72" s="2">
        <v>61</v>
      </c>
      <c r="B72" s="32">
        <v>8672.7000000000007</v>
      </c>
      <c r="C72" s="6">
        <f t="shared" si="18"/>
        <v>0.97759428217403377</v>
      </c>
      <c r="D72" s="6">
        <f t="shared" si="12"/>
        <v>0.95814934167617016</v>
      </c>
      <c r="E72" s="9">
        <f t="shared" si="6"/>
        <v>59.194425019587612</v>
      </c>
      <c r="F72" s="7">
        <f t="shared" si="13"/>
        <v>61</v>
      </c>
      <c r="G72" s="7">
        <f t="shared" si="7"/>
        <v>61.787500000000001</v>
      </c>
      <c r="H72" s="7">
        <f t="shared" si="8"/>
        <v>0.17149485257600497</v>
      </c>
      <c r="I72" s="7">
        <f t="shared" si="9"/>
        <v>1.5596669614378653</v>
      </c>
      <c r="J72" t="b">
        <f t="shared" si="14"/>
        <v>0</v>
      </c>
      <c r="K72" s="7">
        <f t="shared" si="15"/>
        <v>61.787500000000001</v>
      </c>
      <c r="L72" s="7">
        <f t="shared" si="10"/>
        <v>0.78750000000000142</v>
      </c>
      <c r="M72">
        <f t="shared" si="16"/>
        <v>1</v>
      </c>
      <c r="N72">
        <f t="shared" si="17"/>
        <v>1</v>
      </c>
      <c r="O72" s="3">
        <f t="shared" si="11"/>
        <v>8562.1638680962988</v>
      </c>
      <c r="P72" s="36">
        <v>0.12348519058061724</v>
      </c>
      <c r="Q72" s="36">
        <v>0.31201820000000002</v>
      </c>
      <c r="R72" s="36">
        <v>0.68798179999999998</v>
      </c>
      <c r="S72" s="36">
        <v>0</v>
      </c>
    </row>
    <row r="73" spans="1:19" x14ac:dyDescent="0.25">
      <c r="A73" s="2">
        <v>62</v>
      </c>
      <c r="B73" s="32">
        <v>19027.900000000001</v>
      </c>
      <c r="C73" s="6">
        <f t="shared" si="18"/>
        <v>0.97773397856066957</v>
      </c>
      <c r="D73" s="6">
        <f t="shared" si="12"/>
        <v>0.95824703995534133</v>
      </c>
      <c r="E73" s="9">
        <f t="shared" si="6"/>
        <v>60.194425019587612</v>
      </c>
      <c r="F73" s="7">
        <f t="shared" si="13"/>
        <v>62</v>
      </c>
      <c r="G73" s="7">
        <f t="shared" si="7"/>
        <v>62.787500000000001</v>
      </c>
      <c r="H73" s="7">
        <f t="shared" si="8"/>
        <v>0.1687050747911481</v>
      </c>
      <c r="I73" s="7">
        <f t="shared" si="9"/>
        <v>1.6305884963634272</v>
      </c>
      <c r="J73" t="b">
        <f t="shared" si="14"/>
        <v>0</v>
      </c>
      <c r="K73" s="7">
        <f t="shared" si="15"/>
        <v>62.787500000000001</v>
      </c>
      <c r="L73" s="7">
        <f t="shared" si="10"/>
        <v>0.78750000000000142</v>
      </c>
      <c r="M73">
        <f t="shared" si="16"/>
        <v>1</v>
      </c>
      <c r="N73">
        <f t="shared" si="17"/>
        <v>1</v>
      </c>
      <c r="O73" s="3">
        <f t="shared" si="11"/>
        <v>18789.246267171013</v>
      </c>
      <c r="P73" s="36">
        <v>0.34892609262462937</v>
      </c>
      <c r="Q73" s="36">
        <v>0.50146740000000001</v>
      </c>
      <c r="R73" s="36">
        <v>0.42630600000000002</v>
      </c>
      <c r="S73" s="36">
        <v>0</v>
      </c>
    </row>
    <row r="74" spans="1:19" x14ac:dyDescent="0.25">
      <c r="A74" s="2">
        <v>63</v>
      </c>
      <c r="B74" s="32">
        <v>18365.64</v>
      </c>
      <c r="C74" s="6">
        <f t="shared" si="18"/>
        <v>0.97786881285905536</v>
      </c>
      <c r="D74" s="6">
        <f t="shared" si="12"/>
        <v>0.9584649038711619</v>
      </c>
      <c r="E74" s="9">
        <f t="shared" si="6"/>
        <v>61.194425019587612</v>
      </c>
      <c r="F74" s="7">
        <f t="shared" si="13"/>
        <v>63</v>
      </c>
      <c r="G74" s="7">
        <f t="shared" si="7"/>
        <v>63.787500000000001</v>
      </c>
      <c r="H74" s="7">
        <f t="shared" si="8"/>
        <v>0.16600462188937548</v>
      </c>
      <c r="I74" s="7">
        <f t="shared" si="9"/>
        <v>1.7026141286887051</v>
      </c>
      <c r="J74" t="b">
        <f t="shared" si="14"/>
        <v>0</v>
      </c>
      <c r="K74" s="7">
        <f t="shared" si="15"/>
        <v>63.787500000000001</v>
      </c>
      <c r="L74" s="7">
        <f t="shared" si="10"/>
        <v>0.78750000000000142</v>
      </c>
      <c r="M74">
        <f t="shared" si="16"/>
        <v>1</v>
      </c>
      <c r="N74">
        <f t="shared" si="17"/>
        <v>1</v>
      </c>
      <c r="O74" s="3">
        <f t="shared" si="11"/>
        <v>18138.903703703705</v>
      </c>
      <c r="P74" s="36">
        <v>0.70823459370491926</v>
      </c>
      <c r="Q74" s="36">
        <v>0.21643129999999999</v>
      </c>
      <c r="R74" s="36">
        <v>0.27394940000000001</v>
      </c>
      <c r="S74" s="36">
        <v>0</v>
      </c>
    </row>
    <row r="75" spans="1:19" x14ac:dyDescent="0.25">
      <c r="A75" s="2">
        <v>64</v>
      </c>
      <c r="B75" s="32">
        <v>40190.81</v>
      </c>
      <c r="C75" s="6">
        <f t="shared" si="18"/>
        <v>0.9781638801514505</v>
      </c>
      <c r="D75" s="6">
        <f t="shared" si="12"/>
        <v>0.95867857673553969</v>
      </c>
      <c r="E75" s="9">
        <f t="shared" si="6"/>
        <v>62.194425019587612</v>
      </c>
      <c r="F75" s="7">
        <f t="shared" si="13"/>
        <v>64</v>
      </c>
      <c r="G75" s="7">
        <f t="shared" si="7"/>
        <v>64.787499999999994</v>
      </c>
      <c r="H75" s="7">
        <f t="shared" si="8"/>
        <v>0.1633892707914345</v>
      </c>
      <c r="I75" s="7">
        <f t="shared" si="9"/>
        <v>1.775708063570582</v>
      </c>
      <c r="J75" t="b">
        <f t="shared" si="14"/>
        <v>0</v>
      </c>
      <c r="K75" s="7">
        <f t="shared" si="15"/>
        <v>64.787499999999994</v>
      </c>
      <c r="L75" s="7">
        <f t="shared" si="10"/>
        <v>0.78749999999999432</v>
      </c>
      <c r="M75">
        <f t="shared" si="16"/>
        <v>1</v>
      </c>
      <c r="N75">
        <f t="shared" si="17"/>
        <v>1</v>
      </c>
      <c r="O75" s="3">
        <f t="shared" si="11"/>
        <v>39702.285780436039</v>
      </c>
      <c r="P75" s="36">
        <v>0.37833153561735611</v>
      </c>
      <c r="Q75" s="36">
        <v>0.35142040000000002</v>
      </c>
      <c r="R75" s="36">
        <v>0.64857960000000003</v>
      </c>
      <c r="S75" s="36">
        <v>0</v>
      </c>
    </row>
    <row r="76" spans="1:19" x14ac:dyDescent="0.25">
      <c r="A76" s="2">
        <v>65</v>
      </c>
      <c r="B76" s="32">
        <v>624453.69999999995</v>
      </c>
      <c r="C76" s="6">
        <f t="shared" si="18"/>
        <v>0.98274840737260261</v>
      </c>
      <c r="D76" s="6">
        <f t="shared" si="12"/>
        <v>0.95915359410289136</v>
      </c>
      <c r="E76" s="9">
        <f t="shared" si="6"/>
        <v>63.194425019587612</v>
      </c>
      <c r="F76" s="7">
        <f t="shared" si="13"/>
        <v>65</v>
      </c>
      <c r="G76" s="7">
        <f t="shared" si="7"/>
        <v>65.787499999999994</v>
      </c>
      <c r="H76" s="7">
        <f t="shared" si="8"/>
        <v>0.160855060533415</v>
      </c>
      <c r="I76" s="7">
        <f t="shared" si="9"/>
        <v>1.8498362191390325</v>
      </c>
      <c r="J76" t="b">
        <f t="shared" si="14"/>
        <v>0</v>
      </c>
      <c r="K76" s="7">
        <f t="shared" si="15"/>
        <v>65.787499999999994</v>
      </c>
      <c r="L76" s="7">
        <f t="shared" si="10"/>
        <v>0.78749999999999432</v>
      </c>
      <c r="M76">
        <f t="shared" si="16"/>
        <v>1</v>
      </c>
      <c r="N76">
        <f t="shared" si="17"/>
        <v>1</v>
      </c>
      <c r="O76" s="3">
        <f t="shared" si="11"/>
        <v>616978.76496294898</v>
      </c>
      <c r="P76" s="36">
        <v>0.25995363563680474</v>
      </c>
      <c r="Q76" s="36">
        <v>0.22490599999999999</v>
      </c>
      <c r="R76" s="36">
        <v>0.64253839999999995</v>
      </c>
      <c r="S76" s="36">
        <v>2.3178199999999999E-2</v>
      </c>
    </row>
    <row r="77" spans="1:19" x14ac:dyDescent="0.25">
      <c r="A77" s="2">
        <v>66</v>
      </c>
      <c r="B77" s="32">
        <v>29494.29</v>
      </c>
      <c r="C77" s="6">
        <f t="shared" si="18"/>
        <v>0.98296494444392357</v>
      </c>
      <c r="D77" s="6">
        <f t="shared" si="12"/>
        <v>0.9666493658817259</v>
      </c>
      <c r="E77" s="9">
        <f t="shared" si="6"/>
        <v>64.194425019587612</v>
      </c>
      <c r="F77" s="7">
        <f t="shared" si="13"/>
        <v>66</v>
      </c>
      <c r="G77" s="7">
        <f t="shared" si="7"/>
        <v>66.787499999999994</v>
      </c>
      <c r="H77" s="7">
        <f t="shared" si="8"/>
        <v>0.15839827223885344</v>
      </c>
      <c r="I77" s="7">
        <f t="shared" si="9"/>
        <v>1.924966118911259</v>
      </c>
      <c r="J77" t="b">
        <f t="shared" si="14"/>
        <v>0</v>
      </c>
      <c r="K77" s="7">
        <f t="shared" si="15"/>
        <v>66.787499999999994</v>
      </c>
      <c r="L77" s="7">
        <f t="shared" si="10"/>
        <v>0.78749999999999432</v>
      </c>
      <c r="M77">
        <f t="shared" si="16"/>
        <v>1</v>
      </c>
      <c r="N77">
        <f t="shared" si="17"/>
        <v>1</v>
      </c>
      <c r="O77" s="3">
        <f t="shared" si="11"/>
        <v>29146.519034250425</v>
      </c>
      <c r="P77" s="36">
        <v>0.38790189353632404</v>
      </c>
      <c r="Q77" s="36">
        <v>0.29900510000000002</v>
      </c>
      <c r="R77" s="36">
        <v>0.52405659999999998</v>
      </c>
      <c r="S77" s="36">
        <v>7.2344900000000004E-2</v>
      </c>
    </row>
    <row r="78" spans="1:19" x14ac:dyDescent="0.25">
      <c r="A78" s="2">
        <v>67</v>
      </c>
      <c r="B78" s="32">
        <v>7472.09</v>
      </c>
      <c r="C78" s="6">
        <f t="shared" ref="C78:C103" si="19">B78/$B$105+C77</f>
        <v>0.983019801993817</v>
      </c>
      <c r="D78" s="6">
        <f t="shared" si="12"/>
        <v>0.96700885407970749</v>
      </c>
      <c r="E78" s="9">
        <f t="shared" si="6"/>
        <v>65.194425019587612</v>
      </c>
      <c r="F78" s="7">
        <f t="shared" si="13"/>
        <v>67</v>
      </c>
      <c r="G78" s="7">
        <f t="shared" si="7"/>
        <v>67.787499999999994</v>
      </c>
      <c r="H78" s="7">
        <f t="shared" si="8"/>
        <v>0.15601541089979942</v>
      </c>
      <c r="I78" s="7">
        <f t="shared" si="9"/>
        <v>2.0010667925218062</v>
      </c>
      <c r="J78" t="b">
        <f t="shared" si="14"/>
        <v>0</v>
      </c>
      <c r="K78" s="7">
        <f t="shared" si="15"/>
        <v>67.787499999999994</v>
      </c>
      <c r="L78" s="7">
        <f t="shared" si="10"/>
        <v>0.78749999999999432</v>
      </c>
      <c r="M78">
        <f t="shared" si="16"/>
        <v>1</v>
      </c>
      <c r="N78">
        <f t="shared" si="17"/>
        <v>1</v>
      </c>
      <c r="O78" s="3">
        <f t="shared" si="11"/>
        <v>7385.2853402175924</v>
      </c>
      <c r="P78" s="36">
        <v>0.49123737802944023</v>
      </c>
      <c r="Q78" s="36">
        <v>0.24922340000000001</v>
      </c>
      <c r="R78" s="36">
        <v>0.75077660000000002</v>
      </c>
      <c r="S78" s="36">
        <v>0</v>
      </c>
    </row>
    <row r="79" spans="1:19" x14ac:dyDescent="0.25">
      <c r="A79" s="2">
        <v>68</v>
      </c>
      <c r="B79" s="32">
        <v>38388.75</v>
      </c>
      <c r="C79" s="6">
        <f t="shared" si="19"/>
        <v>0.98330163917303626</v>
      </c>
      <c r="D79" s="6">
        <f t="shared" si="12"/>
        <v>0.96710130679109374</v>
      </c>
      <c r="E79" s="9">
        <f t="shared" si="6"/>
        <v>66.194425019587612</v>
      </c>
      <c r="F79" s="7">
        <f t="shared" si="13"/>
        <v>68</v>
      </c>
      <c r="G79" s="7">
        <f t="shared" si="7"/>
        <v>68.787499999999994</v>
      </c>
      <c r="H79" s="7">
        <f t="shared" si="8"/>
        <v>0.15370318877902087</v>
      </c>
      <c r="I79" s="7">
        <f t="shared" si="9"/>
        <v>2.0781086840089946</v>
      </c>
      <c r="J79" t="b">
        <f t="shared" si="14"/>
        <v>0</v>
      </c>
      <c r="K79" s="7">
        <f t="shared" si="15"/>
        <v>68.787499999999994</v>
      </c>
      <c r="L79" s="7">
        <f t="shared" si="10"/>
        <v>0.78749999999999432</v>
      </c>
      <c r="M79">
        <f t="shared" si="16"/>
        <v>1</v>
      </c>
      <c r="N79">
        <f t="shared" si="17"/>
        <v>1</v>
      </c>
      <c r="O79" s="3">
        <f t="shared" si="11"/>
        <v>37949.264037797569</v>
      </c>
      <c r="P79" s="36">
        <v>0.3532285309144646</v>
      </c>
      <c r="Q79" s="36">
        <v>0.29032210000000003</v>
      </c>
      <c r="R79" s="36">
        <v>0.56464639999999999</v>
      </c>
      <c r="S79" s="36">
        <v>0</v>
      </c>
    </row>
    <row r="80" spans="1:19" x14ac:dyDescent="0.25">
      <c r="A80" s="2">
        <v>69</v>
      </c>
      <c r="B80" s="32">
        <v>7894.17</v>
      </c>
      <c r="C80" s="6">
        <f t="shared" si="19"/>
        <v>0.98335959549110019</v>
      </c>
      <c r="D80" s="6">
        <f t="shared" si="12"/>
        <v>0.96758338293352475</v>
      </c>
      <c r="E80" s="9">
        <f t="shared" si="6"/>
        <v>67.194425019587612</v>
      </c>
      <c r="F80" s="7">
        <f t="shared" si="13"/>
        <v>69</v>
      </c>
      <c r="G80" s="7">
        <f t="shared" si="7"/>
        <v>69.787499999999994</v>
      </c>
      <c r="H80" s="7">
        <f t="shared" si="8"/>
        <v>0.15145851026748791</v>
      </c>
      <c r="I80" s="7">
        <f t="shared" si="9"/>
        <v>2.1560635669778137</v>
      </c>
      <c r="J80" t="b">
        <f t="shared" si="14"/>
        <v>0</v>
      </c>
      <c r="K80" s="7">
        <f t="shared" si="15"/>
        <v>69.787499999999994</v>
      </c>
      <c r="L80" s="7">
        <f t="shared" si="10"/>
        <v>0.78749999999999432</v>
      </c>
      <c r="M80">
        <f t="shared" si="16"/>
        <v>1</v>
      </c>
      <c r="N80">
        <f t="shared" si="17"/>
        <v>1</v>
      </c>
      <c r="O80" s="3">
        <f t="shared" si="11"/>
        <v>7805.0901665771098</v>
      </c>
      <c r="P80" s="36">
        <v>0</v>
      </c>
      <c r="Q80" s="36">
        <v>0</v>
      </c>
      <c r="R80" s="36">
        <v>0.39417819999999998</v>
      </c>
      <c r="S80" s="36">
        <v>0.60582179999999997</v>
      </c>
    </row>
    <row r="81" spans="1:19" x14ac:dyDescent="0.25">
      <c r="A81" s="2">
        <v>70</v>
      </c>
      <c r="B81" s="32">
        <v>943717.2</v>
      </c>
      <c r="C81" s="6">
        <f t="shared" si="19"/>
        <v>0.99028804701996365</v>
      </c>
      <c r="D81" s="6">
        <f t="shared" si="12"/>
        <v>0.96768397374711301</v>
      </c>
      <c r="E81" s="9">
        <f t="shared" si="6"/>
        <v>68.194425019587612</v>
      </c>
      <c r="F81" s="7">
        <f t="shared" si="13"/>
        <v>70</v>
      </c>
      <c r="G81" s="7">
        <f t="shared" si="7"/>
        <v>70.787499999999994</v>
      </c>
      <c r="H81" s="7">
        <f t="shared" si="8"/>
        <v>0.14927845805041645</v>
      </c>
      <c r="I81" s="7">
        <f t="shared" si="9"/>
        <v>2.2349044660297217</v>
      </c>
      <c r="J81" t="b">
        <f t="shared" si="14"/>
        <v>0</v>
      </c>
      <c r="K81" s="7">
        <f t="shared" si="15"/>
        <v>70.787499999999994</v>
      </c>
      <c r="L81" s="7">
        <f t="shared" si="10"/>
        <v>0.78749999999999432</v>
      </c>
      <c r="M81">
        <f t="shared" si="16"/>
        <v>1</v>
      </c>
      <c r="N81">
        <f t="shared" si="17"/>
        <v>1</v>
      </c>
      <c r="O81" s="3">
        <f t="shared" si="11"/>
        <v>933218.49196538946</v>
      </c>
      <c r="P81" s="36">
        <v>0.19788836524095066</v>
      </c>
      <c r="Q81" s="36">
        <v>0.24356620000000001</v>
      </c>
      <c r="R81" s="36">
        <v>0.61088410000000004</v>
      </c>
      <c r="S81" s="36">
        <v>3.2104099999999997E-2</v>
      </c>
    </row>
    <row r="82" spans="1:19" x14ac:dyDescent="0.25">
      <c r="A82" s="2">
        <v>71</v>
      </c>
      <c r="B82" s="32">
        <v>4730.99</v>
      </c>
      <c r="C82" s="6">
        <f t="shared" si="19"/>
        <v>0.99032278034356791</v>
      </c>
      <c r="D82" s="6">
        <f t="shared" si="12"/>
        <v>0.97988349157173937</v>
      </c>
      <c r="E82" s="9">
        <f t="shared" si="6"/>
        <v>69.194425019587612</v>
      </c>
      <c r="F82" s="7">
        <f t="shared" si="13"/>
        <v>71</v>
      </c>
      <c r="G82" s="7">
        <f t="shared" si="7"/>
        <v>71.787499999999994</v>
      </c>
      <c r="H82" s="7">
        <f t="shared" si="8"/>
        <v>0.14716028045178076</v>
      </c>
      <c r="I82" s="7">
        <f t="shared" si="9"/>
        <v>2.3146055839118795</v>
      </c>
      <c r="J82" t="b">
        <f t="shared" si="14"/>
        <v>0</v>
      </c>
      <c r="K82" s="7">
        <f t="shared" si="15"/>
        <v>71.787499999999994</v>
      </c>
      <c r="L82" s="7">
        <f t="shared" si="10"/>
        <v>0.78749999999999432</v>
      </c>
      <c r="M82">
        <f t="shared" si="16"/>
        <v>1</v>
      </c>
      <c r="N82">
        <f t="shared" si="17"/>
        <v>1</v>
      </c>
      <c r="O82" s="3">
        <f t="shared" si="11"/>
        <v>4679.0916245864528</v>
      </c>
      <c r="P82" s="36">
        <v>9.2029363495985547E-2</v>
      </c>
      <c r="Q82" s="36">
        <v>0</v>
      </c>
      <c r="R82" s="36">
        <v>0.90797059999999996</v>
      </c>
      <c r="S82" s="36">
        <v>9.2029399999999997E-2</v>
      </c>
    </row>
    <row r="83" spans="1:19" x14ac:dyDescent="0.25">
      <c r="A83" s="2">
        <v>72</v>
      </c>
      <c r="B83" s="32">
        <v>165626.79999999999</v>
      </c>
      <c r="C83" s="6">
        <f t="shared" si="19"/>
        <v>0.99153875612071884</v>
      </c>
      <c r="D83" s="6">
        <f t="shared" si="12"/>
        <v>0.97994552319330619</v>
      </c>
      <c r="E83" s="9">
        <f t="shared" si="6"/>
        <v>70.194425019587612</v>
      </c>
      <c r="F83" s="7">
        <f t="shared" ref="F83:F103" si="20">$A83-$B$5*$B$12*$B$4*$B$9</f>
        <v>72</v>
      </c>
      <c r="G83" s="7">
        <f t="shared" si="7"/>
        <v>72.787499999999994</v>
      </c>
      <c r="H83" s="7">
        <f t="shared" si="8"/>
        <v>0.14510137984181903</v>
      </c>
      <c r="I83" s="7">
        <f t="shared" si="9"/>
        <v>2.3951422338933823</v>
      </c>
      <c r="J83" t="b">
        <f t="shared" ref="J83:J103" si="21">F83&lt;=$B$14</f>
        <v>0</v>
      </c>
      <c r="K83" s="7">
        <f t="shared" ref="K83:K103" si="22">IF(J83,F83,IF(H83&lt;I83,G83,$B$14))</f>
        <v>72.787499999999994</v>
      </c>
      <c r="L83" s="7">
        <f t="shared" si="10"/>
        <v>0.78749999999999432</v>
      </c>
      <c r="M83">
        <f t="shared" ref="M83:M103" si="23">IF($A83&gt;$B$15,1,0)</f>
        <v>1</v>
      </c>
      <c r="N83">
        <f t="shared" ref="N83:N103" si="24">IF($K83&gt;$B$15,1,0)</f>
        <v>1</v>
      </c>
      <c r="O83" s="3">
        <f t="shared" si="11"/>
        <v>163834.85625965998</v>
      </c>
      <c r="P83" s="36">
        <v>0.14716606785038841</v>
      </c>
      <c r="Q83" s="36">
        <v>0.2497326</v>
      </c>
      <c r="R83" s="36">
        <v>0.44799260000000002</v>
      </c>
      <c r="S83" s="36">
        <v>2.3595000000000001E-3</v>
      </c>
    </row>
    <row r="84" spans="1:19" x14ac:dyDescent="0.25">
      <c r="A84" s="2">
        <v>73</v>
      </c>
      <c r="B84" s="32">
        <v>3488.9050000000002</v>
      </c>
      <c r="C84" s="6">
        <f t="shared" si="19"/>
        <v>0.99156437047762713</v>
      </c>
      <c r="D84" s="6">
        <f t="shared" si="12"/>
        <v>0.98214776936130443</v>
      </c>
      <c r="E84" s="9">
        <f t="shared" ref="E84:E103" si="25">$A84-$B$5*((1-$B$16)*$B$4*$B$9+$B$11)</f>
        <v>71.194425019587612</v>
      </c>
      <c r="F84" s="7">
        <f t="shared" si="20"/>
        <v>73</v>
      </c>
      <c r="G84" s="7">
        <f t="shared" ref="G84:G103" si="26">F84+$B$5*$B$13*(1-$B$16-$B$12)</f>
        <v>73.787499999999994</v>
      </c>
      <c r="H84" s="7">
        <f t="shared" ref="H84:H103" si="27">($E84/G84-1+LN(G84/$E84))/$B$5+($B$13+$B$4*$B$9)*(1-$B$16-$B$12)/G84+$B$11/G84</f>
        <v>0.14309930200478443</v>
      </c>
      <c r="I84" s="7">
        <f t="shared" ref="I84:I103" si="28">($E84/$B$14-1+LN($B$14/$E84))/$B$5+$B$4*$B$9*(1-$B$16-$B$12)/$B$14+$B$11/$B$14</f>
        <v>2.4764907769248294</v>
      </c>
      <c r="J84" t="b">
        <f t="shared" si="21"/>
        <v>0</v>
      </c>
      <c r="K84" s="7">
        <f t="shared" si="22"/>
        <v>73.787499999999994</v>
      </c>
      <c r="L84" s="7">
        <f t="shared" ref="L84:L103" si="29">K84-$A84</f>
        <v>0.78749999999999432</v>
      </c>
      <c r="M84">
        <f t="shared" si="23"/>
        <v>1</v>
      </c>
      <c r="N84">
        <f t="shared" si="24"/>
        <v>1</v>
      </c>
      <c r="O84" s="3">
        <f t="shared" ref="O84:O103" si="30">$B84*$A84/$K84</f>
        <v>3451.6695239708624</v>
      </c>
      <c r="P84" s="36">
        <v>0.79661529955454524</v>
      </c>
      <c r="Q84" s="36">
        <v>0.79661530000000003</v>
      </c>
      <c r="R84" s="36">
        <v>0.2033847</v>
      </c>
      <c r="S84" s="36">
        <v>0</v>
      </c>
    </row>
    <row r="85" spans="1:19" x14ac:dyDescent="0.25">
      <c r="A85" s="2">
        <v>74</v>
      </c>
      <c r="B85" s="32">
        <v>12714.73</v>
      </c>
      <c r="C85" s="6">
        <f t="shared" si="19"/>
        <v>0.99165771771184896</v>
      </c>
      <c r="D85" s="6">
        <f t="shared" ref="D85:D103" si="31">$A84*$B84/$A$105+D84</f>
        <v>0.98219480366939893</v>
      </c>
      <c r="E85" s="9">
        <f t="shared" si="25"/>
        <v>72.194425019587612</v>
      </c>
      <c r="F85" s="7">
        <f t="shared" si="20"/>
        <v>74</v>
      </c>
      <c r="G85" s="7">
        <f t="shared" si="26"/>
        <v>74.787499999999994</v>
      </c>
      <c r="H85" s="7">
        <f t="shared" si="27"/>
        <v>0.14115172637539222</v>
      </c>
      <c r="I85" s="7">
        <f t="shared" si="28"/>
        <v>2.5586285631808261</v>
      </c>
      <c r="J85" t="b">
        <f t="shared" si="21"/>
        <v>0</v>
      </c>
      <c r="K85" s="7">
        <f t="shared" si="22"/>
        <v>74.787499999999994</v>
      </c>
      <c r="L85" s="7">
        <f t="shared" si="29"/>
        <v>0.78749999999999432</v>
      </c>
      <c r="M85">
        <f t="shared" si="23"/>
        <v>1</v>
      </c>
      <c r="N85">
        <f t="shared" si="24"/>
        <v>1</v>
      </c>
      <c r="O85" s="3">
        <f t="shared" si="30"/>
        <v>12580.845996991477</v>
      </c>
      <c r="P85" s="36">
        <v>0.36023021330378235</v>
      </c>
      <c r="Q85" s="36">
        <v>0.26066699999999998</v>
      </c>
      <c r="R85" s="36">
        <v>0.71303989999999995</v>
      </c>
      <c r="S85" s="36">
        <v>2.62931E-2</v>
      </c>
    </row>
    <row r="86" spans="1:19" x14ac:dyDescent="0.25">
      <c r="A86" s="2">
        <v>75</v>
      </c>
      <c r="B86" s="32">
        <v>126759.7</v>
      </c>
      <c r="C86" s="6">
        <f t="shared" si="19"/>
        <v>0.99258834442635968</v>
      </c>
      <c r="D86" s="6">
        <f t="shared" si="31"/>
        <v>0.98236856039243303</v>
      </c>
      <c r="E86" s="9">
        <f t="shared" si="25"/>
        <v>73.194425019587612</v>
      </c>
      <c r="F86" s="7">
        <f t="shared" si="20"/>
        <v>75</v>
      </c>
      <c r="G86" s="7">
        <f t="shared" si="26"/>
        <v>75.787499999999994</v>
      </c>
      <c r="H86" s="7">
        <f t="shared" si="27"/>
        <v>0.1392564570622794</v>
      </c>
      <c r="I86" s="7">
        <f t="shared" si="28"/>
        <v>2.6415338776236759</v>
      </c>
      <c r="J86" t="b">
        <f t="shared" si="21"/>
        <v>0</v>
      </c>
      <c r="K86" s="7">
        <f t="shared" si="22"/>
        <v>75.787499999999994</v>
      </c>
      <c r="L86" s="7">
        <f t="shared" si="29"/>
        <v>0.78749999999999432</v>
      </c>
      <c r="M86">
        <f t="shared" si="23"/>
        <v>1</v>
      </c>
      <c r="N86">
        <f t="shared" si="24"/>
        <v>1</v>
      </c>
      <c r="O86" s="3">
        <f t="shared" si="30"/>
        <v>125442.55319148937</v>
      </c>
      <c r="P86" s="36">
        <v>0.31945577165479933</v>
      </c>
      <c r="Q86" s="36">
        <v>0.30473440000000002</v>
      </c>
      <c r="R86" s="36">
        <v>0.59608570000000005</v>
      </c>
      <c r="S86" s="36">
        <v>2.11854E-2</v>
      </c>
    </row>
    <row r="87" spans="1:19" x14ac:dyDescent="0.25">
      <c r="A87" s="2">
        <v>76</v>
      </c>
      <c r="B87" s="32">
        <v>10765.95</v>
      </c>
      <c r="C87" s="6">
        <f t="shared" si="19"/>
        <v>0.99266738437893998</v>
      </c>
      <c r="D87" s="6">
        <f t="shared" si="31"/>
        <v>0.98412423982493324</v>
      </c>
      <c r="E87" s="9">
        <f t="shared" si="25"/>
        <v>74.194425019587612</v>
      </c>
      <c r="F87" s="7">
        <f t="shared" si="20"/>
        <v>76</v>
      </c>
      <c r="G87" s="7">
        <f t="shared" si="26"/>
        <v>76.787499999999994</v>
      </c>
      <c r="H87" s="7">
        <f t="shared" si="27"/>
        <v>0.13741141458542006</v>
      </c>
      <c r="I87" s="7">
        <f t="shared" si="28"/>
        <v>2.7251858892607892</v>
      </c>
      <c r="J87" t="b">
        <f t="shared" si="21"/>
        <v>0</v>
      </c>
      <c r="K87" s="7">
        <f t="shared" si="22"/>
        <v>76.787499999999994</v>
      </c>
      <c r="L87" s="7">
        <f t="shared" si="29"/>
        <v>0.78749999999999432</v>
      </c>
      <c r="M87">
        <f t="shared" si="23"/>
        <v>1</v>
      </c>
      <c r="N87">
        <f t="shared" si="24"/>
        <v>1</v>
      </c>
      <c r="O87" s="3">
        <f t="shared" si="30"/>
        <v>10655.53898746541</v>
      </c>
      <c r="P87" s="36">
        <v>9.7084790473669302E-2</v>
      </c>
      <c r="Q87" s="36">
        <v>0</v>
      </c>
      <c r="R87" s="36">
        <v>0.70606769999999996</v>
      </c>
      <c r="S87" s="36">
        <v>0</v>
      </c>
    </row>
    <row r="88" spans="1:19" x14ac:dyDescent="0.25">
      <c r="A88" s="2">
        <v>77</v>
      </c>
      <c r="B88" s="32">
        <v>16431.21</v>
      </c>
      <c r="C88" s="6">
        <f t="shared" si="19"/>
        <v>0.99278801674851591</v>
      </c>
      <c r="D88" s="6">
        <f t="shared" si="31"/>
        <v>0.98427534130076622</v>
      </c>
      <c r="E88" s="9">
        <f t="shared" si="25"/>
        <v>75.194425019587612</v>
      </c>
      <c r="F88" s="7">
        <f t="shared" si="20"/>
        <v>77</v>
      </c>
      <c r="G88" s="7">
        <f t="shared" si="26"/>
        <v>77.787499999999994</v>
      </c>
      <c r="H88" s="7">
        <f t="shared" si="27"/>
        <v>0.1356146282621174</v>
      </c>
      <c r="I88" s="7">
        <f t="shared" si="28"/>
        <v>2.8095646037990827</v>
      </c>
      <c r="J88" t="b">
        <f t="shared" si="21"/>
        <v>0</v>
      </c>
      <c r="K88" s="7">
        <f t="shared" si="22"/>
        <v>77.787499999999994</v>
      </c>
      <c r="L88" s="7">
        <f t="shared" si="29"/>
        <v>0.78749999999999432</v>
      </c>
      <c r="M88">
        <f t="shared" si="23"/>
        <v>1</v>
      </c>
      <c r="N88">
        <f t="shared" si="24"/>
        <v>1</v>
      </c>
      <c r="O88" s="3">
        <f t="shared" si="30"/>
        <v>16264.864791901013</v>
      </c>
      <c r="P88" s="36">
        <v>0.16786469164474194</v>
      </c>
      <c r="Q88" s="36">
        <v>0</v>
      </c>
      <c r="R88" s="36">
        <v>0.53383530000000001</v>
      </c>
      <c r="S88" s="36">
        <v>9.2772199999999999E-2</v>
      </c>
    </row>
    <row r="89" spans="1:19" x14ac:dyDescent="0.25">
      <c r="A89" s="2">
        <v>78</v>
      </c>
      <c r="B89" s="32">
        <v>12450.61</v>
      </c>
      <c r="C89" s="6">
        <f t="shared" si="19"/>
        <v>0.99287942490329972</v>
      </c>
      <c r="D89" s="6">
        <f t="shared" si="31"/>
        <v>0.98450898981665924</v>
      </c>
      <c r="E89" s="9">
        <f t="shared" si="25"/>
        <v>76.194425019587612</v>
      </c>
      <c r="F89" s="7">
        <f t="shared" si="20"/>
        <v>78</v>
      </c>
      <c r="G89" s="7">
        <f t="shared" si="26"/>
        <v>78.787499999999994</v>
      </c>
      <c r="H89" s="7">
        <f t="shared" si="27"/>
        <v>0.13386422918294236</v>
      </c>
      <c r="I89" s="7">
        <f t="shared" si="28"/>
        <v>2.8946508194270968</v>
      </c>
      <c r="J89" t="b">
        <f t="shared" si="21"/>
        <v>0</v>
      </c>
      <c r="K89" s="7">
        <f t="shared" si="22"/>
        <v>78.787499999999994</v>
      </c>
      <c r="L89" s="7">
        <f t="shared" si="29"/>
        <v>0.78749999999999432</v>
      </c>
      <c r="M89">
        <f t="shared" si="23"/>
        <v>1</v>
      </c>
      <c r="N89">
        <f t="shared" si="24"/>
        <v>1</v>
      </c>
      <c r="O89" s="3">
        <f t="shared" si="30"/>
        <v>12326.163160399812</v>
      </c>
      <c r="P89" s="36">
        <v>4.9492361336892138E-2</v>
      </c>
      <c r="Q89" s="36">
        <v>0.26215749999999999</v>
      </c>
      <c r="R89" s="36">
        <v>0.36833379999999999</v>
      </c>
      <c r="S89" s="36">
        <v>0</v>
      </c>
    </row>
    <row r="90" spans="1:19" x14ac:dyDescent="0.25">
      <c r="A90" s="2">
        <v>80</v>
      </c>
      <c r="B90" s="32">
        <v>531263.1</v>
      </c>
      <c r="C90" s="6">
        <f t="shared" si="19"/>
        <v>0.99677977835391363</v>
      </c>
      <c r="D90" s="6">
        <f t="shared" si="31"/>
        <v>0.98468833428572189</v>
      </c>
      <c r="E90" s="9">
        <f t="shared" si="25"/>
        <v>78.194425019587612</v>
      </c>
      <c r="F90" s="7">
        <f t="shared" si="20"/>
        <v>80</v>
      </c>
      <c r="G90" s="7">
        <f t="shared" si="26"/>
        <v>80.787499999999994</v>
      </c>
      <c r="H90" s="7">
        <f t="shared" si="27"/>
        <v>0.13049558755486421</v>
      </c>
      <c r="I90" s="7">
        <f t="shared" si="28"/>
        <v>3.0668726637653942</v>
      </c>
      <c r="J90" t="b">
        <f t="shared" si="21"/>
        <v>0</v>
      </c>
      <c r="K90" s="7">
        <f t="shared" si="22"/>
        <v>80.787499999999994</v>
      </c>
      <c r="L90" s="7">
        <f t="shared" si="29"/>
        <v>0.78749999999999432</v>
      </c>
      <c r="M90">
        <f t="shared" si="23"/>
        <v>1</v>
      </c>
      <c r="N90">
        <f t="shared" si="24"/>
        <v>1</v>
      </c>
      <c r="O90" s="3">
        <f t="shared" si="30"/>
        <v>526084.45613492187</v>
      </c>
      <c r="P90" s="36">
        <v>0.253388979833571</v>
      </c>
      <c r="Q90" s="36">
        <v>0.23549590000000001</v>
      </c>
      <c r="R90" s="36">
        <v>0.5776192</v>
      </c>
      <c r="S90" s="36">
        <v>4.3744699999999997E-2</v>
      </c>
    </row>
    <row r="91" spans="1:19" x14ac:dyDescent="0.25">
      <c r="A91" s="2">
        <v>82</v>
      </c>
      <c r="B91" s="32">
        <v>6209.24</v>
      </c>
      <c r="C91" s="6">
        <f t="shared" si="19"/>
        <v>0.99682536448752557</v>
      </c>
      <c r="D91" s="6">
        <f t="shared" si="31"/>
        <v>0.99253711859527838</v>
      </c>
      <c r="E91" s="9">
        <f t="shared" si="25"/>
        <v>80.194425019587612</v>
      </c>
      <c r="F91" s="7">
        <f t="shared" si="20"/>
        <v>82</v>
      </c>
      <c r="G91" s="7">
        <f t="shared" si="26"/>
        <v>82.787499999999994</v>
      </c>
      <c r="H91" s="7">
        <f t="shared" si="27"/>
        <v>0.1272923393051138</v>
      </c>
      <c r="I91" s="7">
        <f t="shared" si="28"/>
        <v>3.2417121515928264</v>
      </c>
      <c r="J91" t="b">
        <f t="shared" si="21"/>
        <v>0</v>
      </c>
      <c r="K91" s="7">
        <f t="shared" si="22"/>
        <v>82.787499999999994</v>
      </c>
      <c r="L91" s="7">
        <f t="shared" si="29"/>
        <v>0.78749999999999432</v>
      </c>
      <c r="M91">
        <f t="shared" si="23"/>
        <v>1</v>
      </c>
      <c r="N91">
        <f t="shared" si="24"/>
        <v>1</v>
      </c>
      <c r="O91" s="3">
        <f t="shared" si="30"/>
        <v>6150.1758115657558</v>
      </c>
      <c r="P91" s="36">
        <v>0</v>
      </c>
      <c r="Q91" s="36">
        <v>0</v>
      </c>
      <c r="R91" s="36">
        <v>1</v>
      </c>
      <c r="S91" s="36">
        <v>0</v>
      </c>
    </row>
    <row r="92" spans="1:19" x14ac:dyDescent="0.25">
      <c r="A92" s="2">
        <v>84</v>
      </c>
      <c r="B92" s="32">
        <v>99227.9</v>
      </c>
      <c r="C92" s="6">
        <f t="shared" si="19"/>
        <v>0.99755386206652585</v>
      </c>
      <c r="D92" s="6">
        <f t="shared" si="31"/>
        <v>0.99263114613101999</v>
      </c>
      <c r="E92" s="9">
        <f t="shared" si="25"/>
        <v>82.194425019587612</v>
      </c>
      <c r="F92" s="7">
        <f t="shared" si="20"/>
        <v>84</v>
      </c>
      <c r="G92" s="7">
        <f t="shared" si="26"/>
        <v>84.787499999999994</v>
      </c>
      <c r="H92" s="7">
        <f t="shared" si="27"/>
        <v>0.12424259462490177</v>
      </c>
      <c r="I92" s="7">
        <f t="shared" si="28"/>
        <v>3.4190403060337302</v>
      </c>
      <c r="J92" t="b">
        <f t="shared" si="21"/>
        <v>0</v>
      </c>
      <c r="K92" s="7">
        <f t="shared" si="22"/>
        <v>84.787499999999994</v>
      </c>
      <c r="L92" s="7">
        <f t="shared" si="29"/>
        <v>0.78749999999999432</v>
      </c>
      <c r="M92">
        <f t="shared" si="23"/>
        <v>1</v>
      </c>
      <c r="N92">
        <f t="shared" si="24"/>
        <v>1</v>
      </c>
      <c r="O92" s="3">
        <f t="shared" si="30"/>
        <v>98306.278637770898</v>
      </c>
      <c r="P92" s="36">
        <v>0.12384700904139835</v>
      </c>
      <c r="Q92" s="36">
        <v>0.1546633</v>
      </c>
      <c r="R92" s="36">
        <v>0.68633549999999999</v>
      </c>
      <c r="S92" s="36">
        <v>0</v>
      </c>
    </row>
    <row r="93" spans="1:19" x14ac:dyDescent="0.25">
      <c r="A93" s="2">
        <v>85</v>
      </c>
      <c r="B93" s="32">
        <v>40490.76</v>
      </c>
      <c r="C93" s="6">
        <f t="shared" si="19"/>
        <v>0.99785113149006377</v>
      </c>
      <c r="D93" s="6">
        <f t="shared" si="31"/>
        <v>0.9941704198050616</v>
      </c>
      <c r="E93" s="9">
        <f t="shared" si="25"/>
        <v>83.194425019587612</v>
      </c>
      <c r="F93" s="7">
        <f t="shared" si="20"/>
        <v>85</v>
      </c>
      <c r="G93" s="7">
        <f t="shared" si="26"/>
        <v>85.787499999999994</v>
      </c>
      <c r="H93" s="7">
        <f t="shared" si="27"/>
        <v>0.12277187851507325</v>
      </c>
      <c r="I93" s="7">
        <f t="shared" si="28"/>
        <v>3.5085998965564404</v>
      </c>
      <c r="J93" t="b">
        <f t="shared" si="21"/>
        <v>0</v>
      </c>
      <c r="K93" s="7">
        <f t="shared" si="22"/>
        <v>85.787499999999994</v>
      </c>
      <c r="L93" s="7">
        <f t="shared" si="29"/>
        <v>0.78749999999999432</v>
      </c>
      <c r="M93">
        <f t="shared" si="23"/>
        <v>1</v>
      </c>
      <c r="N93">
        <f t="shared" si="24"/>
        <v>1</v>
      </c>
      <c r="O93" s="3">
        <f t="shared" si="30"/>
        <v>40119.068628879504</v>
      </c>
      <c r="P93" s="36">
        <v>0.16763775735501135</v>
      </c>
      <c r="Q93" s="36">
        <v>0.2101635</v>
      </c>
      <c r="R93" s="36">
        <v>0.61262369999999999</v>
      </c>
      <c r="S93" s="36">
        <v>7.6012700000000002E-2</v>
      </c>
    </row>
    <row r="94" spans="1:19" x14ac:dyDescent="0.25">
      <c r="A94" s="2">
        <v>86</v>
      </c>
      <c r="B94" s="32">
        <v>3958.3539999999998</v>
      </c>
      <c r="C94" s="6">
        <f t="shared" si="19"/>
        <v>0.99788019238227077</v>
      </c>
      <c r="D94" s="6">
        <f t="shared" si="31"/>
        <v>0.99480601061567997</v>
      </c>
      <c r="E94" s="9">
        <f t="shared" si="25"/>
        <v>84.194425019587612</v>
      </c>
      <c r="F94" s="7">
        <f t="shared" si="20"/>
        <v>86</v>
      </c>
      <c r="G94" s="7">
        <f t="shared" si="26"/>
        <v>86.787499999999994</v>
      </c>
      <c r="H94" s="7">
        <f t="shared" si="27"/>
        <v>0.12133557676784026</v>
      </c>
      <c r="I94" s="7">
        <f t="shared" si="28"/>
        <v>3.5987374539134112</v>
      </c>
      <c r="J94" t="b">
        <f t="shared" si="21"/>
        <v>0</v>
      </c>
      <c r="K94" s="7">
        <f t="shared" si="22"/>
        <v>86.787499999999994</v>
      </c>
      <c r="L94" s="7">
        <f t="shared" si="29"/>
        <v>0.78749999999999432</v>
      </c>
      <c r="M94">
        <f t="shared" si="23"/>
        <v>1</v>
      </c>
      <c r="N94">
        <f t="shared" si="24"/>
        <v>1</v>
      </c>
      <c r="O94" s="3">
        <f t="shared" si="30"/>
        <v>3922.4363416390606</v>
      </c>
      <c r="P94" s="36">
        <v>0</v>
      </c>
      <c r="Q94" s="36">
        <v>0</v>
      </c>
      <c r="R94" s="36">
        <v>0.87046049999999997</v>
      </c>
      <c r="S94" s="36">
        <v>0</v>
      </c>
    </row>
    <row r="95" spans="1:19" x14ac:dyDescent="0.25">
      <c r="A95" s="2">
        <v>87</v>
      </c>
      <c r="B95" s="32">
        <v>2262.6280000000002</v>
      </c>
      <c r="C95" s="6">
        <f t="shared" si="19"/>
        <v>0.99789680382945622</v>
      </c>
      <c r="D95" s="6">
        <f t="shared" si="31"/>
        <v>0.9948688766170537</v>
      </c>
      <c r="E95" s="9">
        <f t="shared" si="25"/>
        <v>85.194425019587612</v>
      </c>
      <c r="F95" s="7">
        <f t="shared" si="20"/>
        <v>87</v>
      </c>
      <c r="G95" s="7">
        <f t="shared" si="26"/>
        <v>87.787499999999994</v>
      </c>
      <c r="H95" s="7">
        <f t="shared" si="27"/>
        <v>0.11993249533267292</v>
      </c>
      <c r="I95" s="7">
        <f t="shared" si="28"/>
        <v>3.6894393293380126</v>
      </c>
      <c r="J95" t="b">
        <f t="shared" si="21"/>
        <v>0</v>
      </c>
      <c r="K95" s="7">
        <f t="shared" si="22"/>
        <v>87.787499999999994</v>
      </c>
      <c r="L95" s="7">
        <f t="shared" si="29"/>
        <v>0.78749999999999432</v>
      </c>
      <c r="M95">
        <f t="shared" si="23"/>
        <v>1</v>
      </c>
      <c r="N95">
        <f t="shared" si="24"/>
        <v>1</v>
      </c>
      <c r="O95" s="3">
        <f t="shared" si="30"/>
        <v>2242.3310380179414</v>
      </c>
      <c r="P95" s="36">
        <v>0</v>
      </c>
      <c r="Q95" s="36">
        <v>0</v>
      </c>
      <c r="R95" s="36">
        <v>0</v>
      </c>
      <c r="S95" s="36">
        <v>0</v>
      </c>
    </row>
    <row r="96" spans="1:19" x14ac:dyDescent="0.25">
      <c r="A96" s="2">
        <v>89</v>
      </c>
      <c r="B96" s="32">
        <v>1479.48</v>
      </c>
      <c r="C96" s="6">
        <f t="shared" si="19"/>
        <v>0.99790766566970657</v>
      </c>
      <c r="D96" s="6">
        <f t="shared" si="31"/>
        <v>0.9949052291908913</v>
      </c>
      <c r="E96" s="9">
        <f t="shared" si="25"/>
        <v>87.194425019587612</v>
      </c>
      <c r="F96" s="7">
        <f t="shared" si="20"/>
        <v>89</v>
      </c>
      <c r="G96" s="7">
        <f t="shared" si="26"/>
        <v>89.787499999999994</v>
      </c>
      <c r="H96" s="7">
        <f t="shared" si="27"/>
        <v>0.11722148716565664</v>
      </c>
      <c r="I96" s="7">
        <f t="shared" si="28"/>
        <v>3.8724838064733897</v>
      </c>
      <c r="J96" t="b">
        <f t="shared" si="21"/>
        <v>0</v>
      </c>
      <c r="K96" s="7">
        <f t="shared" si="22"/>
        <v>89.787499999999994</v>
      </c>
      <c r="L96" s="7">
        <f t="shared" si="29"/>
        <v>0.78749999999999432</v>
      </c>
      <c r="M96">
        <f t="shared" si="23"/>
        <v>1</v>
      </c>
      <c r="N96">
        <f t="shared" si="24"/>
        <v>1</v>
      </c>
      <c r="O96" s="3">
        <f t="shared" si="30"/>
        <v>1466.5039120144788</v>
      </c>
      <c r="P96" s="36">
        <v>0</v>
      </c>
      <c r="Q96" s="36">
        <v>0</v>
      </c>
      <c r="R96" s="36">
        <v>1</v>
      </c>
      <c r="S96" s="36">
        <v>0</v>
      </c>
    </row>
    <row r="97" spans="1:19" x14ac:dyDescent="0.25">
      <c r="A97" s="2">
        <v>90</v>
      </c>
      <c r="B97" s="32">
        <v>65667.17</v>
      </c>
      <c r="C97" s="6">
        <f t="shared" si="19"/>
        <v>0.99838977175443477</v>
      </c>
      <c r="D97" s="6">
        <f t="shared" si="31"/>
        <v>0.99492954573545078</v>
      </c>
      <c r="E97" s="9">
        <f t="shared" si="25"/>
        <v>88.194425019587612</v>
      </c>
      <c r="F97" s="7">
        <f t="shared" si="20"/>
        <v>90</v>
      </c>
      <c r="G97" s="7">
        <f t="shared" si="26"/>
        <v>90.787499999999994</v>
      </c>
      <c r="H97" s="7">
        <f t="shared" si="27"/>
        <v>0.11591143324789614</v>
      </c>
      <c r="I97" s="7">
        <f t="shared" si="28"/>
        <v>3.9648014129129208</v>
      </c>
      <c r="J97" t="b">
        <f t="shared" si="21"/>
        <v>0</v>
      </c>
      <c r="K97" s="7">
        <f t="shared" si="22"/>
        <v>90.787499999999994</v>
      </c>
      <c r="L97" s="7">
        <f t="shared" si="29"/>
        <v>0.78749999999999432</v>
      </c>
      <c r="M97">
        <f t="shared" si="23"/>
        <v>1</v>
      </c>
      <c r="N97">
        <f t="shared" si="24"/>
        <v>1</v>
      </c>
      <c r="O97" s="3">
        <f t="shared" si="30"/>
        <v>65097.566294919459</v>
      </c>
      <c r="P97" s="36">
        <v>0.16005690514757984</v>
      </c>
      <c r="Q97" s="36">
        <v>0.23510339999999999</v>
      </c>
      <c r="R97" s="36">
        <v>0.69639930000000005</v>
      </c>
      <c r="S97" s="36">
        <v>0</v>
      </c>
    </row>
    <row r="98" spans="1:19" x14ac:dyDescent="0.25">
      <c r="A98" s="2">
        <v>91</v>
      </c>
      <c r="B98" s="32">
        <v>8320.6910000000007</v>
      </c>
      <c r="C98" s="6">
        <f t="shared" si="19"/>
        <v>0.99845085944498457</v>
      </c>
      <c r="D98" s="6">
        <f t="shared" si="31"/>
        <v>0.99602096990031863</v>
      </c>
      <c r="E98" s="9">
        <f t="shared" si="25"/>
        <v>89.194425019587612</v>
      </c>
      <c r="F98" s="7">
        <f t="shared" si="20"/>
        <v>91</v>
      </c>
      <c r="G98" s="7">
        <f t="shared" si="26"/>
        <v>91.787499999999994</v>
      </c>
      <c r="H98" s="7">
        <f t="shared" si="27"/>
        <v>0.1146303397014628</v>
      </c>
      <c r="I98" s="7">
        <f t="shared" si="28"/>
        <v>4.057633306467479</v>
      </c>
      <c r="J98" t="b">
        <f t="shared" si="21"/>
        <v>0</v>
      </c>
      <c r="K98" s="7">
        <f t="shared" si="22"/>
        <v>91.787499999999994</v>
      </c>
      <c r="L98" s="7">
        <f t="shared" si="29"/>
        <v>0.78749999999999432</v>
      </c>
      <c r="M98">
        <f t="shared" si="23"/>
        <v>1</v>
      </c>
      <c r="N98">
        <f t="shared" si="24"/>
        <v>1</v>
      </c>
      <c r="O98" s="3">
        <f t="shared" si="30"/>
        <v>8249.30280266921</v>
      </c>
      <c r="P98" s="36">
        <v>7.1411137265055727E-2</v>
      </c>
      <c r="Q98" s="36">
        <v>0</v>
      </c>
      <c r="R98" s="36">
        <v>0.59170339999999999</v>
      </c>
      <c r="S98" s="36">
        <v>0</v>
      </c>
    </row>
    <row r="99" spans="1:19" x14ac:dyDescent="0.25">
      <c r="A99" s="2">
        <v>94</v>
      </c>
      <c r="B99" s="32">
        <v>1838.39</v>
      </c>
      <c r="C99" s="6">
        <f t="shared" si="19"/>
        <v>0.99846435628069563</v>
      </c>
      <c r="D99" s="6">
        <f t="shared" si="31"/>
        <v>0.99616080092556436</v>
      </c>
      <c r="E99" s="9">
        <f t="shared" si="25"/>
        <v>92.194425019587612</v>
      </c>
      <c r="F99" s="7">
        <f t="shared" si="20"/>
        <v>94</v>
      </c>
      <c r="G99" s="7">
        <f t="shared" si="26"/>
        <v>94.787499999999994</v>
      </c>
      <c r="H99" s="7">
        <f t="shared" si="27"/>
        <v>0.11095152583060514</v>
      </c>
      <c r="I99" s="7">
        <f t="shared" si="28"/>
        <v>4.3391019110475968</v>
      </c>
      <c r="J99" t="b">
        <f t="shared" si="21"/>
        <v>0</v>
      </c>
      <c r="K99" s="7">
        <f t="shared" si="22"/>
        <v>94.787499999999994</v>
      </c>
      <c r="L99" s="7">
        <f t="shared" si="29"/>
        <v>0.78749999999999432</v>
      </c>
      <c r="M99">
        <f t="shared" si="23"/>
        <v>1</v>
      </c>
      <c r="N99">
        <f t="shared" si="24"/>
        <v>1</v>
      </c>
      <c r="O99" s="3">
        <f t="shared" si="30"/>
        <v>1823.1165501780299</v>
      </c>
      <c r="P99" s="36">
        <v>1</v>
      </c>
      <c r="Q99" s="36">
        <v>1</v>
      </c>
      <c r="R99" s="36">
        <v>0</v>
      </c>
      <c r="S99" s="36">
        <v>0</v>
      </c>
    </row>
    <row r="100" spans="1:19" x14ac:dyDescent="0.25">
      <c r="A100" s="2">
        <v>95</v>
      </c>
      <c r="B100" s="32">
        <v>4809.4799999999996</v>
      </c>
      <c r="C100" s="6">
        <f t="shared" si="19"/>
        <v>0.99849966585125238</v>
      </c>
      <c r="D100" s="6">
        <f t="shared" si="31"/>
        <v>0.99619271397154774</v>
      </c>
      <c r="E100" s="9">
        <f t="shared" si="25"/>
        <v>93.194425019587612</v>
      </c>
      <c r="F100" s="7">
        <f t="shared" si="20"/>
        <v>95</v>
      </c>
      <c r="G100" s="7">
        <f t="shared" si="26"/>
        <v>95.787499999999994</v>
      </c>
      <c r="H100" s="7">
        <f t="shared" si="27"/>
        <v>0.10977717512202965</v>
      </c>
      <c r="I100" s="7">
        <f t="shared" si="28"/>
        <v>4.4338799857439044</v>
      </c>
      <c r="J100" t="b">
        <f t="shared" si="21"/>
        <v>0</v>
      </c>
      <c r="K100" s="7">
        <f t="shared" si="22"/>
        <v>95.787499999999994</v>
      </c>
      <c r="L100" s="7">
        <f t="shared" si="29"/>
        <v>0.78749999999999432</v>
      </c>
      <c r="M100">
        <f t="shared" si="23"/>
        <v>1</v>
      </c>
      <c r="N100">
        <f t="shared" si="24"/>
        <v>1</v>
      </c>
      <c r="O100" s="3">
        <f t="shared" si="30"/>
        <v>4769.9397102962284</v>
      </c>
      <c r="P100" s="36">
        <v>0.61093299067674678</v>
      </c>
      <c r="Q100" s="36">
        <v>0.28050019999999998</v>
      </c>
      <c r="R100" s="36">
        <v>0.71949980000000002</v>
      </c>
      <c r="S100" s="36">
        <v>0</v>
      </c>
    </row>
    <row r="101" spans="1:19" x14ac:dyDescent="0.25">
      <c r="A101" s="2">
        <v>96</v>
      </c>
      <c r="B101" s="32">
        <v>21508.49</v>
      </c>
      <c r="C101" s="6">
        <f t="shared" si="19"/>
        <v>0.9986575738881347</v>
      </c>
      <c r="D101" s="6">
        <f t="shared" si="31"/>
        <v>0.99627709104997431</v>
      </c>
      <c r="E101" s="9">
        <f t="shared" si="25"/>
        <v>94.194425019587612</v>
      </c>
      <c r="F101" s="7">
        <f t="shared" si="20"/>
        <v>96</v>
      </c>
      <c r="G101" s="7">
        <f t="shared" si="26"/>
        <v>96.787499999999994</v>
      </c>
      <c r="H101" s="7">
        <f t="shared" si="27"/>
        <v>0.10862742505667189</v>
      </c>
      <c r="I101" s="7">
        <f t="shared" si="28"/>
        <v>4.5291186404960273</v>
      </c>
      <c r="J101" t="b">
        <f t="shared" si="21"/>
        <v>0</v>
      </c>
      <c r="K101" s="7">
        <f t="shared" si="22"/>
        <v>96.787499999999994</v>
      </c>
      <c r="L101" s="7">
        <f t="shared" si="29"/>
        <v>0.78749999999999432</v>
      </c>
      <c r="M101">
        <f t="shared" si="23"/>
        <v>1</v>
      </c>
      <c r="N101">
        <f t="shared" si="24"/>
        <v>1</v>
      </c>
      <c r="O101" s="3">
        <f t="shared" si="30"/>
        <v>21333.488725300274</v>
      </c>
      <c r="P101" s="36">
        <v>0.16278583426161031</v>
      </c>
      <c r="Q101" s="36">
        <v>9.2547199999999996E-2</v>
      </c>
      <c r="R101" s="36">
        <v>0.5881362</v>
      </c>
      <c r="S101" s="36">
        <v>0</v>
      </c>
    </row>
    <row r="102" spans="1:19" x14ac:dyDescent="0.25">
      <c r="A102" s="2">
        <v>98</v>
      </c>
      <c r="B102" s="32">
        <v>7515.9690000000001</v>
      </c>
      <c r="C102" s="6">
        <f t="shared" si="19"/>
        <v>0.99871275358276035</v>
      </c>
      <c r="D102" s="6">
        <f t="shared" si="31"/>
        <v>0.99665840606809075</v>
      </c>
      <c r="E102" s="9">
        <f t="shared" si="25"/>
        <v>96.194425019587612</v>
      </c>
      <c r="F102" s="7">
        <f t="shared" si="20"/>
        <v>98</v>
      </c>
      <c r="G102" s="7">
        <f t="shared" si="26"/>
        <v>98.787499999999994</v>
      </c>
      <c r="H102" s="7">
        <f t="shared" si="27"/>
        <v>0.10639869807220977</v>
      </c>
      <c r="I102" s="7">
        <f t="shared" si="28"/>
        <v>4.720939083204077</v>
      </c>
      <c r="J102" t="b">
        <f t="shared" si="21"/>
        <v>0</v>
      </c>
      <c r="K102" s="7">
        <f t="shared" si="22"/>
        <v>98.787499999999994</v>
      </c>
      <c r="L102" s="7">
        <f t="shared" si="29"/>
        <v>0.78749999999999432</v>
      </c>
      <c r="M102">
        <f t="shared" si="23"/>
        <v>1</v>
      </c>
      <c r="N102">
        <f t="shared" si="24"/>
        <v>1</v>
      </c>
      <c r="O102" s="3">
        <f t="shared" si="30"/>
        <v>7456.054278122233</v>
      </c>
      <c r="P102" s="36">
        <v>0.31030432072726227</v>
      </c>
      <c r="Q102" s="36">
        <v>0</v>
      </c>
      <c r="R102" s="36">
        <v>0.96912310000000002</v>
      </c>
      <c r="S102" s="36">
        <v>0</v>
      </c>
    </row>
    <row r="103" spans="1:19" x14ac:dyDescent="0.25">
      <c r="A103" s="2">
        <v>99</v>
      </c>
      <c r="B103" s="32">
        <v>175334.5</v>
      </c>
      <c r="C103">
        <f t="shared" si="19"/>
        <v>1</v>
      </c>
      <c r="D103" s="6">
        <f t="shared" si="31"/>
        <v>0.99679442952607034</v>
      </c>
      <c r="E103" s="9">
        <f t="shared" si="25"/>
        <v>97.194425019587612</v>
      </c>
      <c r="F103" s="7">
        <f t="shared" si="20"/>
        <v>99</v>
      </c>
      <c r="G103" s="7">
        <f t="shared" si="26"/>
        <v>99.787499999999994</v>
      </c>
      <c r="H103" s="7">
        <f t="shared" si="27"/>
        <v>0.10531828366395335</v>
      </c>
      <c r="I103" s="7">
        <f t="shared" si="28"/>
        <v>4.8175023175152836</v>
      </c>
      <c r="J103" t="b">
        <f t="shared" si="21"/>
        <v>0</v>
      </c>
      <c r="K103" s="7">
        <f t="shared" si="22"/>
        <v>99.787499999999994</v>
      </c>
      <c r="L103" s="7">
        <f t="shared" si="29"/>
        <v>0.78749999999999432</v>
      </c>
      <c r="M103">
        <f t="shared" si="23"/>
        <v>1</v>
      </c>
      <c r="N103">
        <f t="shared" si="24"/>
        <v>1</v>
      </c>
      <c r="O103" s="3">
        <f t="shared" si="30"/>
        <v>173950.80045095828</v>
      </c>
      <c r="P103" s="36">
        <v>0.28300001813675729</v>
      </c>
      <c r="Q103" s="36">
        <v>0.17672930000000001</v>
      </c>
      <c r="R103" s="36">
        <v>0.57062349999999995</v>
      </c>
      <c r="S103" s="36">
        <v>3.8699799999999999E-2</v>
      </c>
    </row>
    <row r="105" spans="1:19" x14ac:dyDescent="0.25">
      <c r="A105" s="3">
        <f>SUMPRODUCT($A$19:$A$103,$B$19:$B$103)</f>
        <v>5414984833.7980003</v>
      </c>
      <c r="B105" s="3">
        <f>SUM(B19:B103)</f>
        <v>136208963.29699999</v>
      </c>
      <c r="P105" s="6">
        <f>SUMPRODUCT($B$19:$B$103,P$19:P$103)/$B$105</f>
        <v>0.46761734886462625</v>
      </c>
    </row>
    <row r="106" spans="1:19" x14ac:dyDescent="0.25">
      <c r="P106" s="7">
        <f>SUMPRODUCT($A$19:$A$103,$B$19:$B$103,$P$19:$P$103)/($B$105*$P$105)</f>
        <v>37.323675312687875</v>
      </c>
    </row>
  </sheetData>
  <mergeCells count="4">
    <mergeCell ref="H17:I17"/>
    <mergeCell ref="F17:G17"/>
    <mergeCell ref="Q17:R17"/>
    <mergeCell ref="P16:S16"/>
  </mergeCells>
  <dataValidations count="1">
    <dataValidation type="whole" allowBlank="1" showInputMessage="1" showErrorMessage="1" sqref="C1">
      <formula1>1</formula1>
      <formula2>4</formula2>
    </dataValidation>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5"/>
  <sheetViews>
    <sheetView zoomScale="125" zoomScaleNormal="125" zoomScalePageLayoutView="125" workbookViewId="0"/>
  </sheetViews>
  <sheetFormatPr defaultColWidth="11" defaultRowHeight="15.75" x14ac:dyDescent="0.25"/>
  <cols>
    <col min="1" max="1" width="32.375" bestFit="1" customWidth="1"/>
    <col min="2" max="2" width="6" customWidth="1"/>
    <col min="3" max="3" width="9.625" bestFit="1" customWidth="1"/>
    <col min="4" max="4" width="9.625" customWidth="1"/>
    <col min="6" max="6" width="6" customWidth="1"/>
    <col min="7" max="7" width="8.375" customWidth="1"/>
    <col min="8" max="9" width="9.625" customWidth="1"/>
    <col min="10" max="10" width="6.875" bestFit="1" customWidth="1"/>
    <col min="11" max="11" width="6.875" customWidth="1"/>
    <col min="12" max="15" width="6.875" hidden="1" customWidth="1"/>
    <col min="16" max="16" width="7.125" customWidth="1"/>
    <col min="17" max="17" width="6" customWidth="1"/>
    <col min="18" max="18" width="8.375" customWidth="1"/>
    <col min="19" max="21" width="7.125" customWidth="1"/>
    <col min="23" max="23" width="8.625" bestFit="1" customWidth="1"/>
    <col min="24" max="24" width="7.625" bestFit="1" customWidth="1"/>
    <col min="25" max="25" width="8" bestFit="1" customWidth="1"/>
    <col min="26" max="26" width="9.125" bestFit="1" customWidth="1"/>
    <col min="27" max="27" width="9.125" customWidth="1"/>
  </cols>
  <sheetData>
    <row r="1" spans="1:28" x14ac:dyDescent="0.25">
      <c r="A1" s="5" t="str">
        <f>"Sectors: "&amp;VLOOKUP($C$1,ParametersTax!$B$16:$G$20,6)&amp;" group"</f>
        <v>Sectors: Penalty, no subsidy group</v>
      </c>
      <c r="C1">
        <f>'hours (1)'!$C$1</f>
        <v>1</v>
      </c>
    </row>
    <row r="3" spans="1:28" x14ac:dyDescent="0.25">
      <c r="A3" s="1" t="s">
        <v>0</v>
      </c>
      <c r="F3" s="10" t="s">
        <v>33</v>
      </c>
      <c r="G3" s="10" t="s">
        <v>34</v>
      </c>
      <c r="H3" s="10" t="s">
        <v>46</v>
      </c>
      <c r="I3" s="11" t="s">
        <v>60</v>
      </c>
    </row>
    <row r="4" spans="1:28" x14ac:dyDescent="0.25">
      <c r="A4" t="s">
        <v>2</v>
      </c>
      <c r="B4" s="9">
        <f>ParametersOther!$B$4</f>
        <v>9.4905032911790893E-2</v>
      </c>
      <c r="E4" t="s">
        <v>35</v>
      </c>
      <c r="F4" s="6">
        <f>ParametersTax!$B$24</f>
        <v>0.96211940551208697</v>
      </c>
      <c r="G4" s="6">
        <f>$B$8*($R$16^($B$7/($B$7-1)))</f>
        <v>0.96211936779053953</v>
      </c>
      <c r="H4">
        <f>(1-G4/F4)^2</f>
        <v>1.5371669961910627E-15</v>
      </c>
      <c r="I4" s="6">
        <f>LN(G4)</f>
        <v>-3.8616753071733317E-2</v>
      </c>
    </row>
    <row r="5" spans="1:28" x14ac:dyDescent="0.25">
      <c r="A5" t="s">
        <v>1</v>
      </c>
      <c r="B5" s="9">
        <f>ParametersOther!$B$5</f>
        <v>0.25</v>
      </c>
      <c r="E5" t="s">
        <v>36</v>
      </c>
      <c r="F5" s="6">
        <f>ParametersTax!$B$30</f>
        <v>0.7537696874040668</v>
      </c>
      <c r="G5" s="6">
        <f>$K$14</f>
        <v>0.75376969889498102</v>
      </c>
      <c r="I5" s="6">
        <f>LN(K14/F14)</f>
        <v>-4.3983938467990161E-2</v>
      </c>
    </row>
    <row r="6" spans="1:28" x14ac:dyDescent="0.25">
      <c r="A6" t="s">
        <v>27</v>
      </c>
      <c r="B6" s="29">
        <f>ParametersOther!B6</f>
        <v>0.5</v>
      </c>
      <c r="E6" t="s">
        <v>37</v>
      </c>
      <c r="F6" s="9">
        <f>(F4/$B$8)^(1/$B$7)</f>
        <v>6.1845807693485462</v>
      </c>
    </row>
    <row r="7" spans="1:28" x14ac:dyDescent="0.25">
      <c r="A7" t="s">
        <v>38</v>
      </c>
      <c r="B7" s="7">
        <f>ParametersOther!B7</f>
        <v>2</v>
      </c>
      <c r="F7" s="9"/>
    </row>
    <row r="8" spans="1:28" x14ac:dyDescent="0.25">
      <c r="A8" t="s">
        <v>26</v>
      </c>
      <c r="B8" s="9">
        <f>ParametersOther!B8</f>
        <v>2.5154080293418805E-2</v>
      </c>
      <c r="E8" t="s">
        <v>61</v>
      </c>
      <c r="G8">
        <f>G4/$P$16</f>
        <v>2.5152392591769719E-2</v>
      </c>
      <c r="I8" s="28">
        <f>LN(G8/B8)</f>
        <v>-6.7096798997296489E-5</v>
      </c>
    </row>
    <row r="9" spans="1:28" x14ac:dyDescent="0.25">
      <c r="A9" t="s">
        <v>3</v>
      </c>
      <c r="B9" s="7">
        <f>'hours (1)'!B9</f>
        <v>43.288296761716524</v>
      </c>
      <c r="E9" t="s">
        <v>65</v>
      </c>
      <c r="G9" s="29">
        <f>SUMPRODUCT($P$19:$P$103,$U$19:$U$103)/SUM($P$19:$P$103)</f>
        <v>0.67705575301596821</v>
      </c>
    </row>
    <row r="10" spans="1:28" x14ac:dyDescent="0.25">
      <c r="A10" t="s">
        <v>17</v>
      </c>
      <c r="B10" s="7">
        <f>'hours (1)'!B10</f>
        <v>22.693124757509004</v>
      </c>
    </row>
    <row r="11" spans="1:28" x14ac:dyDescent="0.25">
      <c r="A11" t="s">
        <v>6</v>
      </c>
      <c r="B11" s="7">
        <f>ParametersOther!B16</f>
        <v>4.1410920000000004</v>
      </c>
    </row>
    <row r="12" spans="1:28" x14ac:dyDescent="0.25">
      <c r="A12" t="s">
        <v>7</v>
      </c>
      <c r="B12" s="14">
        <f>VLOOKUP($C$1,ParametersTax!$B$16:$E$20,3)</f>
        <v>0</v>
      </c>
    </row>
    <row r="13" spans="1:28" x14ac:dyDescent="0.25">
      <c r="A13" t="s">
        <v>39</v>
      </c>
      <c r="B13" s="7">
        <f>VLOOKUP($C$1,ParametersTax!$B$16:$E$20,2)</f>
        <v>4.2</v>
      </c>
      <c r="S13" s="6"/>
      <c r="T13" s="6"/>
      <c r="U13" s="6"/>
    </row>
    <row r="14" spans="1:28" x14ac:dyDescent="0.25">
      <c r="A14" t="s">
        <v>9</v>
      </c>
      <c r="B14" s="7">
        <f>ParametersOther!$B$11</f>
        <v>29</v>
      </c>
      <c r="F14" s="23">
        <f>1-$E$16*$B$15</f>
        <v>0.78766338381257994</v>
      </c>
      <c r="G14" s="104" t="s">
        <v>55</v>
      </c>
      <c r="H14" s="104"/>
      <c r="I14" s="104"/>
      <c r="J14" s="104"/>
      <c r="K14" s="23">
        <f>$Y$16</f>
        <v>0.75376969889498102</v>
      </c>
      <c r="P14" s="17">
        <f>MAX(ABS(MIN(O$19:O$103)),MAX(O$19:O$103))</f>
        <v>1.5971211272858277E-4</v>
      </c>
      <c r="S14" s="6"/>
      <c r="T14" s="6"/>
      <c r="U14" s="6"/>
    </row>
    <row r="15" spans="1:28" x14ac:dyDescent="0.25">
      <c r="A15" t="s">
        <v>25</v>
      </c>
      <c r="B15" s="7">
        <f>ParametersOther!$B$19</f>
        <v>39.754981630619795</v>
      </c>
      <c r="C15" s="102" t="s">
        <v>28</v>
      </c>
      <c r="D15" s="102"/>
      <c r="E15" s="102"/>
      <c r="F15" s="102"/>
      <c r="G15" s="102"/>
      <c r="H15" s="95" t="s">
        <v>29</v>
      </c>
      <c r="I15" s="95"/>
      <c r="J15" s="95"/>
      <c r="K15" s="95"/>
      <c r="L15" s="95"/>
      <c r="M15" s="95"/>
      <c r="N15" s="95"/>
      <c r="O15" s="95"/>
      <c r="P15" s="95"/>
      <c r="Q15" s="95"/>
      <c r="R15" s="95"/>
      <c r="S15" s="95"/>
      <c r="T15" s="95"/>
      <c r="U15" s="95"/>
      <c r="V15" s="95"/>
      <c r="W15" s="95"/>
      <c r="X15" s="95"/>
    </row>
    <row r="16" spans="1:28" x14ac:dyDescent="0.25">
      <c r="A16" t="s">
        <v>68</v>
      </c>
      <c r="B16" s="14">
        <f>ParametersOther!$B$21</f>
        <v>0.25</v>
      </c>
      <c r="C16" s="24">
        <f>SUMPRODUCT(C$19:C$103,$D$19:$D$103)/COUNT($D$19:$D$103)</f>
        <v>39.754981630619874</v>
      </c>
      <c r="D16" s="25">
        <f>SUMPRODUCT($A$19:$A$103,D$19:D$103)</f>
        <v>1</v>
      </c>
      <c r="E16" s="45">
        <f>SUMPRODUCT($A$19:$A$103,E$19:E$103)</f>
        <v>5.3411322928112155E-3</v>
      </c>
      <c r="F16" s="45">
        <f>SUMPRODUCT($A$19:$A$103,F$19:F$103)</f>
        <v>4.6912770354079047E-3</v>
      </c>
      <c r="G16" s="9"/>
      <c r="H16" s="7">
        <f>SUMPRODUCT($A$19:$A$103,$D$19:$D$103,H$19:H$103)</f>
        <v>40.023213357507693</v>
      </c>
      <c r="I16" s="9">
        <f>SUMPRODUCT($A$19:$A$103,$Q$19:$Q$103,I$19:I$103)</f>
        <v>3.0982418334788515</v>
      </c>
      <c r="J16" s="9">
        <f>SUMPRODUCT($A$19:$A$103,J$19:J$103)</f>
        <v>0.25140750252866662</v>
      </c>
      <c r="K16" s="6">
        <f>SUMPRODUCT($A$19:$A$103,K$19:K$103)</f>
        <v>6.3239245049739688E-3</v>
      </c>
      <c r="P16" s="7">
        <f>SUMPRODUCT($A$19:$A$103,P$19:P$103)</f>
        <v>38.251604267077198</v>
      </c>
      <c r="Q16" s="9">
        <f>SUMPRODUCT($A$19:$A$103,Q$19:Q$103)</f>
        <v>0.96213201898514533</v>
      </c>
      <c r="R16" s="9">
        <f>SUMPRODUCT($A$19:$A$103,R$19:R$103)</f>
        <v>6.1845806481099777</v>
      </c>
      <c r="S16" s="6"/>
      <c r="T16" s="6"/>
      <c r="U16" s="6"/>
      <c r="V16" s="6">
        <f>LN($H$16/$C$16)</f>
        <v>6.7244624343194732E-3</v>
      </c>
      <c r="W16" s="6">
        <f>LN($Q$16/$D$16)</f>
        <v>-3.8603603859844543E-2</v>
      </c>
      <c r="X16" s="6">
        <f>LN(P16/$B$15)</f>
        <v>-3.8549656272736064E-2</v>
      </c>
      <c r="Y16" s="9">
        <f>SUMPRODUCT($A$19:$A$103,Y$19:Y$103)</f>
        <v>0.75376969889498102</v>
      </c>
      <c r="AB16" s="9"/>
    </row>
    <row r="17" spans="1:30" x14ac:dyDescent="0.25">
      <c r="C17" s="24"/>
      <c r="D17" s="26"/>
      <c r="E17" s="105" t="s">
        <v>115</v>
      </c>
      <c r="F17" s="105"/>
      <c r="G17" s="17"/>
      <c r="H17" s="7">
        <f>SUMPRODUCT($A$19:$A$103,$Q$19:$Q$103,H$19:H$103)</f>
        <v>38.251604267077198</v>
      </c>
      <c r="I17" s="22" t="s">
        <v>53</v>
      </c>
      <c r="J17" s="17" t="s">
        <v>44</v>
      </c>
      <c r="K17" s="17" t="s">
        <v>42</v>
      </c>
      <c r="L17" s="20">
        <f>($B$15*(1-$B$12-0.5*$B$13/$B$9)^$B$6)^(1/$B$7)</f>
        <v>6.2272544591020358</v>
      </c>
      <c r="M17" s="17"/>
      <c r="N17" s="17"/>
      <c r="P17" s="7">
        <f>SUMPRODUCT($A$19:$A$103,P$19:P$103,$AC$19:$AC$103)</f>
        <v>16.796760080683143</v>
      </c>
      <c r="Q17" s="9">
        <f>SUMPRODUCT($A$19:$A$103,Q$19:Q$103,$AC$19:$AC$103)</f>
        <v>0.4525286867487841</v>
      </c>
      <c r="R17" t="s">
        <v>56</v>
      </c>
      <c r="V17" s="6">
        <f>SUMPRODUCT($A$19:$A$103,V$19:V$103)</f>
        <v>5.8791615128279224E-3</v>
      </c>
      <c r="W17" s="6">
        <f t="shared" ref="W17:X17" si="0">SUMPRODUCT($A$19:$A$103,W$19:W$103)</f>
        <v>-4.4562255475421864E-2</v>
      </c>
      <c r="X17" s="6">
        <f t="shared" si="0"/>
        <v>-3.8683093962593944E-2</v>
      </c>
      <c r="Y17" s="95" t="s">
        <v>58</v>
      </c>
      <c r="Z17" s="95"/>
      <c r="AA17" s="31"/>
    </row>
    <row r="18" spans="1:30" x14ac:dyDescent="0.25">
      <c r="A18" s="12" t="s">
        <v>193</v>
      </c>
      <c r="B18" s="10" t="s">
        <v>8</v>
      </c>
      <c r="C18" s="27" t="s">
        <v>30</v>
      </c>
      <c r="D18" s="27" t="s">
        <v>32</v>
      </c>
      <c r="E18" s="27" t="s">
        <v>116</v>
      </c>
      <c r="F18" s="27" t="s">
        <v>117</v>
      </c>
      <c r="G18" s="27" t="s">
        <v>69</v>
      </c>
      <c r="H18" s="10" t="s">
        <v>30</v>
      </c>
      <c r="I18" s="10" t="s">
        <v>40</v>
      </c>
      <c r="J18" s="10" t="s">
        <v>43</v>
      </c>
      <c r="K18" s="10" t="s">
        <v>43</v>
      </c>
      <c r="L18" s="10" t="s">
        <v>50</v>
      </c>
      <c r="M18" s="10" t="s">
        <v>51</v>
      </c>
      <c r="N18" s="10" t="s">
        <v>52</v>
      </c>
      <c r="O18" s="10" t="s">
        <v>45</v>
      </c>
      <c r="P18" s="10" t="s">
        <v>31</v>
      </c>
      <c r="Q18" s="10" t="s">
        <v>32</v>
      </c>
      <c r="R18" s="10" t="s">
        <v>57</v>
      </c>
      <c r="S18" s="11" t="s">
        <v>62</v>
      </c>
      <c r="T18" s="10" t="s">
        <v>63</v>
      </c>
      <c r="U18" s="10" t="s">
        <v>64</v>
      </c>
      <c r="V18" s="10" t="s">
        <v>47</v>
      </c>
      <c r="W18" s="10" t="s">
        <v>48</v>
      </c>
      <c r="X18" s="10" t="s">
        <v>49</v>
      </c>
      <c r="Y18" s="10" t="s">
        <v>59</v>
      </c>
      <c r="Z18" s="10"/>
      <c r="AA18" s="10" t="s">
        <v>97</v>
      </c>
      <c r="AB18" s="10" t="s">
        <v>66</v>
      </c>
      <c r="AC18" s="11" t="s">
        <v>119</v>
      </c>
      <c r="AD18" s="10" t="s">
        <v>120</v>
      </c>
    </row>
    <row r="19" spans="1:30" x14ac:dyDescent="0.25">
      <c r="A19" s="39">
        <f>'hours (1)'!$A19*'hours (1)'!$B19/'hours (1)'!$A$105</f>
        <v>8.5148840514222583E-4</v>
      </c>
      <c r="B19" s="9">
        <f>'hours (1)'!$E19</f>
        <v>6.1944250195876105</v>
      </c>
      <c r="C19" s="26">
        <f>'hours (1)'!$A19</f>
        <v>8</v>
      </c>
      <c r="D19" s="25">
        <f t="shared" ref="D19:D82" si="1">$B$15/$C19</f>
        <v>4.9693727038274744</v>
      </c>
      <c r="E19" s="25">
        <f>(($B$4*$B$9+$B$11)/$C19+($B19/$C19-1+LN($C19/$B19))/$B$5)*$B$8</f>
        <v>2.8966207360624489E-2</v>
      </c>
      <c r="F19" s="25">
        <f t="shared" ref="F19:F82" si="2">(((1-$B$16)*$B$4*$B$9+$B$11)/$C19+($B19/$C19-1+LN($C19/$B19))/$B$5)*$B$8</f>
        <v>2.5736834383045692E-2</v>
      </c>
      <c r="G19" s="30">
        <f>((1-$B$16)*$B$8-$F19)*$F$5/($F$14*$B$15^(1/$B$6))</f>
        <v>-4.1605636896461035E-6</v>
      </c>
      <c r="H19" s="9">
        <f>'hours (1)'!$K19</f>
        <v>8</v>
      </c>
      <c r="I19" s="7">
        <f t="shared" ref="I19:I82" si="3">IF($H19&gt;$B$14,1,0)*$B$13</f>
        <v>0</v>
      </c>
      <c r="J19" s="9">
        <f t="shared" ref="J19:J82" si="4">(1-$B$16-$B$12)*($B$4*$B$9+$I19)/$H19+$B$11/$H19+($B19/$H19-1+LN($H19/$B19))/$B$5</f>
        <v>1.0231673781282855</v>
      </c>
      <c r="K19" s="18">
        <f>J19*$B$8</f>
        <v>2.5736834383045692E-2</v>
      </c>
      <c r="L19" s="19">
        <f t="shared" ref="L19:L82" si="5">$G19*($L$17^(($B$7+$B$6)/$B$6))+($K19*$L$17)-(1-$B$16-$B$12)*$B$8*(($F$4/$B$8)^(1/$B$7))</f>
        <v>4.6327745475051724E-3</v>
      </c>
      <c r="M19" s="19">
        <f t="shared" ref="M19:M83" si="6">$G19*($B$7+$B$6)*($L$17^($B$7/$B$6))/$B$6+$K19</f>
        <v>-5.5461824290772704E-3</v>
      </c>
      <c r="N19" s="19">
        <f t="shared" ref="N19:N83" si="7">$G19*($B$7+$B$6)*$B$7*($L$17^($B$7/$B$6-1))/($B$6^2)</f>
        <v>-2.0094259528064283E-2</v>
      </c>
      <c r="O19" s="19">
        <f t="shared" ref="O19:O82" si="8">$G19*(P19^(1/$B$7+1/$B$6))+($K19*P19^(1/$B$7))-(1-$B$16-$B$12)*$B$8*(($F$4/$B$8)^(1/$B$7))</f>
        <v>-1.5971211272858277E-4</v>
      </c>
      <c r="P19" s="21">
        <f t="shared" ref="P19:P82" si="9">($L$17-(M19/N19)*(1-SQRT(1-2*L19*N19/(M19^2))))^$B$7</f>
        <v>44.679108981337777</v>
      </c>
      <c r="Q19" s="9">
        <f>$P19/$H19</f>
        <v>5.5848886226672221</v>
      </c>
      <c r="R19" s="9">
        <f t="shared" ref="R19:R82" si="10">$P19^(($B$7-1)/$B$7)</f>
        <v>6.6842433364845251</v>
      </c>
      <c r="S19" s="6">
        <f>$B$8*($G$4/($B$8*$P19))^(1/$B$7)</f>
        <v>2.3273754465902016E-2</v>
      </c>
      <c r="T19" s="6">
        <f t="shared" ref="T19:T82" si="11">S19-($B$4*$B$9*$B$8/$H19)</f>
        <v>1.0356262555586838E-2</v>
      </c>
      <c r="U19" s="6">
        <f t="shared" ref="U19:U82" si="12">$B$6*T19/(T19-$B$8*$B$11/$H19-($B19/$H19-1+LN($H19/$B19))*$B$8/$B$5)</f>
        <v>-0.90964850716535806</v>
      </c>
      <c r="V19" s="6">
        <f t="shared" ref="V19:V82" si="13">LN(H19/C19)</f>
        <v>0</v>
      </c>
      <c r="W19" s="6">
        <f t="shared" ref="W19:W82" si="14">LN(Q19/D19)</f>
        <v>0.11677087448736044</v>
      </c>
      <c r="X19" s="6">
        <f t="shared" ref="X19:X82" si="15">LN(P19/$B$15)</f>
        <v>0.11677087448736044</v>
      </c>
      <c r="Y19">
        <f t="shared" ref="Y19:Y82" si="16">$G$4-($B$4*$B$9+$B$11+($B19-$H19+$H19*LN($H19/$B19))/$B$5)*$B$8*$Q19</f>
        <v>-0.33206496765083049</v>
      </c>
      <c r="AA19" s="43">
        <f>ROUND($H19,0)</f>
        <v>8</v>
      </c>
      <c r="AB19" s="6">
        <f>$Q19*$A19/$Q$16</f>
        <v>4.9426355348073043E-3</v>
      </c>
      <c r="AC19" s="6">
        <f>VLOOKUP($C19,'hours (1)'!$A$19:$P$103,16)</f>
        <v>0.65945741368532951</v>
      </c>
      <c r="AD19" s="6">
        <f>$Q19*$A19*AC19/$Q$17</f>
        <v>6.9300105344150282E-3</v>
      </c>
    </row>
    <row r="20" spans="1:30" x14ac:dyDescent="0.25">
      <c r="A20" s="39">
        <f>'hours (1)'!$A20*'hours (1)'!$B20/'hours (1)'!$A$105</f>
        <v>1.156853932609497E-4</v>
      </c>
      <c r="B20" s="9">
        <f>'hours (1)'!$E20</f>
        <v>7.1944250195876105</v>
      </c>
      <c r="C20" s="26">
        <f>'hours (1)'!$A20</f>
        <v>9</v>
      </c>
      <c r="D20" s="25">
        <f t="shared" si="1"/>
        <v>4.4172201811799772</v>
      </c>
      <c r="E20" s="25">
        <f t="shared" ref="E20:E83" si="17">(($B$4*$B$9+$B$11)/$C20+($B20/$C20-1+LN($C20/$B20))/$B$5)*$B$8</f>
        <v>2.5400374665029157E-2</v>
      </c>
      <c r="F20" s="25">
        <f t="shared" si="2"/>
        <v>2.2529820907181339E-2</v>
      </c>
      <c r="G20" s="30">
        <f t="shared" ref="G20:G83" si="18">((1-$B$16)*$B$8-$F20)*$F$5/($F$14*$B$15^(1/$B$6))</f>
        <v>-2.2187136770572933E-6</v>
      </c>
      <c r="H20" s="9">
        <f>'hours (1)'!$K20</f>
        <v>9</v>
      </c>
      <c r="I20" s="7">
        <f t="shared" si="3"/>
        <v>0</v>
      </c>
      <c r="J20" s="9">
        <f t="shared" si="4"/>
        <v>0.89567261630614792</v>
      </c>
      <c r="K20" s="18">
        <f t="shared" ref="K20:K83" si="19">J20*$B$8</f>
        <v>2.2529820907181339E-2</v>
      </c>
      <c r="L20" s="19">
        <f t="shared" si="5"/>
        <v>2.8462758547424111E-3</v>
      </c>
      <c r="M20" s="19">
        <f t="shared" si="6"/>
        <v>5.8474522576163791E-3</v>
      </c>
      <c r="N20" s="19">
        <f t="shared" si="7"/>
        <v>-1.0715713487622949E-2</v>
      </c>
      <c r="O20" s="19">
        <f t="shared" si="8"/>
        <v>4.056396926467587E-5</v>
      </c>
      <c r="P20" s="21">
        <f t="shared" si="9"/>
        <v>34.368243892083044</v>
      </c>
      <c r="Q20" s="9">
        <f t="shared" ref="Q20:Q83" si="20">$P20/$H20</f>
        <v>3.818693765787005</v>
      </c>
      <c r="R20" s="9">
        <f t="shared" si="10"/>
        <v>5.8624435086474858</v>
      </c>
      <c r="S20" s="6">
        <f t="shared" ref="S20:S83" si="21">$B$8*($G$4/($B$8*$P20))^(1/$B$7)</f>
        <v>2.6536279279145359E-2</v>
      </c>
      <c r="T20" s="6">
        <f t="shared" si="11"/>
        <v>1.505406424775409E-2</v>
      </c>
      <c r="U20" s="6">
        <f t="shared" si="12"/>
        <v>6.626464960469848</v>
      </c>
      <c r="V20" s="6">
        <f t="shared" si="13"/>
        <v>0</v>
      </c>
      <c r="W20" s="6">
        <f t="shared" si="14"/>
        <v>-0.14560216193995065</v>
      </c>
      <c r="X20" s="6">
        <f t="shared" si="15"/>
        <v>-0.14560216193995065</v>
      </c>
      <c r="Y20">
        <f t="shared" si="16"/>
        <v>8.9153096352530214E-2</v>
      </c>
      <c r="AA20" s="43">
        <f t="shared" ref="AA20:AA83" si="22">ROUND($H20,0)</f>
        <v>9</v>
      </c>
      <c r="AB20" s="6">
        <f>$Q20*$A20/$Q$16+AB19</f>
        <v>5.401789872591615E-3</v>
      </c>
      <c r="AC20" s="6">
        <f>VLOOKUP($C20,'hours (1)'!$A$19:$P$103,16)</f>
        <v>0.61809764833410796</v>
      </c>
      <c r="AD20" s="6">
        <f>$Q20*$A20*AC20/$Q$17+AD19</f>
        <v>7.5334091861685715E-3</v>
      </c>
    </row>
    <row r="21" spans="1:30" x14ac:dyDescent="0.25">
      <c r="A21" s="39">
        <f>'hours (1)'!$A21*'hours (1)'!$B21/'hours (1)'!$A$105</f>
        <v>2.1505951276750003E-3</v>
      </c>
      <c r="B21" s="9">
        <f>'hours (1)'!$E21</f>
        <v>8.1944250195876105</v>
      </c>
      <c r="C21" s="26">
        <f>'hours (1)'!$A21</f>
        <v>10</v>
      </c>
      <c r="D21" s="25">
        <f t="shared" si="1"/>
        <v>3.9754981630619795</v>
      </c>
      <c r="E21" s="25">
        <f t="shared" si="17"/>
        <v>2.2619331622219848E-2</v>
      </c>
      <c r="F21" s="25">
        <f t="shared" si="2"/>
        <v>2.0035833240156814E-2</v>
      </c>
      <c r="G21" s="30">
        <f t="shared" si="18"/>
        <v>-7.0860153719400733E-7</v>
      </c>
      <c r="H21" s="9">
        <f>'hours (1)'!$K21</f>
        <v>10</v>
      </c>
      <c r="I21" s="7">
        <f t="shared" si="3"/>
        <v>0</v>
      </c>
      <c r="J21" s="9">
        <f t="shared" si="4"/>
        <v>0.79652418241659562</v>
      </c>
      <c r="K21" s="18">
        <f t="shared" si="19"/>
        <v>2.0035833240156814E-2</v>
      </c>
      <c r="L21" s="19">
        <f t="shared" si="5"/>
        <v>1.4569752670032521E-3</v>
      </c>
      <c r="M21" s="19">
        <f t="shared" si="6"/>
        <v>1.4707902831039139E-2</v>
      </c>
      <c r="N21" s="19">
        <f t="shared" si="7"/>
        <v>-3.4223303024530386E-3</v>
      </c>
      <c r="O21" s="19">
        <f t="shared" si="8"/>
        <v>2.5616447113518959E-7</v>
      </c>
      <c r="P21" s="21">
        <f t="shared" si="9"/>
        <v>37.568439224588992</v>
      </c>
      <c r="Q21" s="9">
        <f t="shared" si="20"/>
        <v>3.7568439224588994</v>
      </c>
      <c r="R21" s="9">
        <f t="shared" si="10"/>
        <v>6.1293098489625235</v>
      </c>
      <c r="S21" s="6">
        <f t="shared" si="21"/>
        <v>2.5380906176576234E-2</v>
      </c>
      <c r="T21" s="6">
        <f t="shared" si="11"/>
        <v>1.5046912648324093E-2</v>
      </c>
      <c r="U21" s="6">
        <f t="shared" si="12"/>
        <v>2.7243357642812085</v>
      </c>
      <c r="V21" s="6">
        <f t="shared" si="13"/>
        <v>0</v>
      </c>
      <c r="W21" s="6">
        <f t="shared" si="14"/>
        <v>-5.6570841696201059E-2</v>
      </c>
      <c r="X21" s="6">
        <f t="shared" si="15"/>
        <v>-5.657084169620117E-2</v>
      </c>
      <c r="Y21">
        <f t="shared" si="16"/>
        <v>0.112346382440349</v>
      </c>
      <c r="AA21" s="43">
        <f t="shared" si="22"/>
        <v>10</v>
      </c>
      <c r="AB21" s="6">
        <f t="shared" ref="AB21:AB84" si="23">$Q21*$A21/$Q$16+AB20</f>
        <v>1.37992343767229E-2</v>
      </c>
      <c r="AC21" s="6">
        <f>VLOOKUP($C21,'hours (1)'!$A$19:$P$103,16)</f>
        <v>0.66850566449331195</v>
      </c>
      <c r="AD21" s="6">
        <f t="shared" ref="AD21:AD84" si="24">$Q21*$A21*AC21/$Q$17+AD20</f>
        <v>1.9468913843220761E-2</v>
      </c>
    </row>
    <row r="22" spans="1:30" x14ac:dyDescent="0.25">
      <c r="A22" s="39">
        <f>'hours (1)'!$A22*'hours (1)'!$B22/'hours (1)'!$A$105</f>
        <v>6.5173811346110435E-5</v>
      </c>
      <c r="B22" s="9">
        <f>'hours (1)'!$E22</f>
        <v>9.1944250195876105</v>
      </c>
      <c r="C22" s="26">
        <f>'hours (1)'!$A22</f>
        <v>11</v>
      </c>
      <c r="D22" s="25">
        <f t="shared" si="1"/>
        <v>3.6140892391472543</v>
      </c>
      <c r="E22" s="25">
        <f t="shared" si="17"/>
        <v>2.0388934870164285E-2</v>
      </c>
      <c r="F22" s="25">
        <f t="shared" si="2"/>
        <v>1.8040299977379708E-2</v>
      </c>
      <c r="G22" s="30">
        <f t="shared" si="18"/>
        <v>4.996959397602227E-7</v>
      </c>
      <c r="H22" s="9">
        <f>'hours (1)'!$K22</f>
        <v>11</v>
      </c>
      <c r="I22" s="7">
        <f t="shared" si="3"/>
        <v>0</v>
      </c>
      <c r="J22" s="9">
        <f t="shared" si="4"/>
        <v>0.71719179421160084</v>
      </c>
      <c r="K22" s="18">
        <f t="shared" si="19"/>
        <v>1.8040299977379704E-2</v>
      </c>
      <c r="L22" s="19">
        <f t="shared" si="5"/>
        <v>3.453436533084886E-4</v>
      </c>
      <c r="M22" s="19">
        <f t="shared" si="6"/>
        <v>2.1797482333071098E-2</v>
      </c>
      <c r="N22" s="19">
        <f t="shared" si="7"/>
        <v>2.4133796878653183E-3</v>
      </c>
      <c r="O22" s="19">
        <f t="shared" si="8"/>
        <v>-7.7165945855384166E-10</v>
      </c>
      <c r="P22" s="21">
        <f t="shared" si="9"/>
        <v>38.581455887787065</v>
      </c>
      <c r="Q22" s="9">
        <f t="shared" si="20"/>
        <v>3.5074050807079149</v>
      </c>
      <c r="R22" s="9">
        <f t="shared" si="10"/>
        <v>6.2113972572833456</v>
      </c>
      <c r="S22" s="6">
        <f t="shared" si="21"/>
        <v>2.5045482000248431E-2</v>
      </c>
      <c r="T22" s="6">
        <f t="shared" si="11"/>
        <v>1.565094242911012E-2</v>
      </c>
      <c r="U22" s="6">
        <f t="shared" si="12"/>
        <v>1.6805308731866406</v>
      </c>
      <c r="V22" s="6">
        <f t="shared" si="13"/>
        <v>0</v>
      </c>
      <c r="W22" s="6">
        <f t="shared" si="14"/>
        <v>-2.9963413670166548E-2</v>
      </c>
      <c r="X22" s="6">
        <f t="shared" si="15"/>
        <v>-2.9963413670166434E-2</v>
      </c>
      <c r="Y22">
        <f t="shared" si="16"/>
        <v>0.17548457649833271</v>
      </c>
      <c r="AA22" s="43">
        <f t="shared" si="22"/>
        <v>11</v>
      </c>
      <c r="AB22" s="6">
        <f t="shared" si="23"/>
        <v>1.4036822309079173E-2</v>
      </c>
      <c r="AC22" s="6">
        <f>VLOOKUP($C22,'hours (1)'!$A$19:$P$103,16)</f>
        <v>0.7387130633743596</v>
      </c>
      <c r="AD22" s="6">
        <f t="shared" si="24"/>
        <v>1.9842068365978613E-2</v>
      </c>
    </row>
    <row r="23" spans="1:30" x14ac:dyDescent="0.25">
      <c r="A23" s="39">
        <f>'hours (1)'!$A23*'hours (1)'!$B23/'hours (1)'!$A$105</f>
        <v>1.6665159140751592E-3</v>
      </c>
      <c r="B23" s="9">
        <f>'hours (1)'!$E23</f>
        <v>10.19442501958761</v>
      </c>
      <c r="C23" s="26">
        <f>'hours (1)'!$A23</f>
        <v>12</v>
      </c>
      <c r="D23" s="25">
        <f t="shared" si="1"/>
        <v>3.3129151358849831</v>
      </c>
      <c r="E23" s="25">
        <f t="shared" si="17"/>
        <v>1.8559980691175048E-2</v>
      </c>
      <c r="F23" s="25">
        <f t="shared" si="2"/>
        <v>1.6407065372789183E-2</v>
      </c>
      <c r="G23" s="30">
        <f t="shared" si="18"/>
        <v>1.4886212003969307E-6</v>
      </c>
      <c r="H23" s="9">
        <f>'hours (1)'!$K23</f>
        <v>12</v>
      </c>
      <c r="I23" s="7">
        <f t="shared" si="3"/>
        <v>0</v>
      </c>
      <c r="J23" s="9">
        <f t="shared" si="4"/>
        <v>0.65226258250761215</v>
      </c>
      <c r="K23" s="18">
        <f t="shared" si="19"/>
        <v>1.6407065372789183E-2</v>
      </c>
      <c r="L23" s="19">
        <f t="shared" si="5"/>
        <v>-5.6446589630351762E-4</v>
      </c>
      <c r="M23" s="19">
        <f t="shared" si="6"/>
        <v>2.7599914590502029E-2</v>
      </c>
      <c r="N23" s="19">
        <f t="shared" si="7"/>
        <v>7.1895884719166232E-3</v>
      </c>
      <c r="O23" s="19">
        <f t="shared" si="8"/>
        <v>4.90706372757721E-9</v>
      </c>
      <c r="P23" s="21">
        <f t="shared" si="9"/>
        <v>39.033155450391455</v>
      </c>
      <c r="Q23" s="9">
        <f t="shared" si="20"/>
        <v>3.2527629541992877</v>
      </c>
      <c r="R23" s="9">
        <f t="shared" si="10"/>
        <v>6.2476519949811111</v>
      </c>
      <c r="S23" s="6">
        <f t="shared" si="21"/>
        <v>2.4900144618915002E-2</v>
      </c>
      <c r="T23" s="6">
        <f t="shared" si="11"/>
        <v>1.628848334537155E-2</v>
      </c>
      <c r="U23" s="6">
        <f t="shared" si="12"/>
        <v>1.28454749206917</v>
      </c>
      <c r="V23" s="6">
        <f t="shared" si="13"/>
        <v>0</v>
      </c>
      <c r="W23" s="6">
        <f t="shared" si="14"/>
        <v>-1.8323732569537086E-2</v>
      </c>
      <c r="X23" s="6">
        <f t="shared" si="15"/>
        <v>-1.8323732569536975E-2</v>
      </c>
      <c r="Y23">
        <f t="shared" si="16"/>
        <v>0.23766475631563999</v>
      </c>
      <c r="AA23" s="43">
        <f t="shared" si="22"/>
        <v>12</v>
      </c>
      <c r="AB23" s="6">
        <f t="shared" si="23"/>
        <v>1.9670956836277498E-2</v>
      </c>
      <c r="AC23" s="6">
        <f>VLOOKUP($C23,'hours (1)'!$A$19:$P$103,16)</f>
        <v>0.71832894688550686</v>
      </c>
      <c r="AD23" s="6">
        <f t="shared" si="24"/>
        <v>2.8446835720510152E-2</v>
      </c>
    </row>
    <row r="24" spans="1:30" x14ac:dyDescent="0.25">
      <c r="A24" s="39">
        <f>'hours (1)'!$A24*'hours (1)'!$B24/'hours (1)'!$A$105</f>
        <v>2.5796297549743205E-4</v>
      </c>
      <c r="B24" s="9">
        <f>'hours (1)'!$E24</f>
        <v>11.19442501958761</v>
      </c>
      <c r="C24" s="26">
        <f>'hours (1)'!$A24</f>
        <v>13</v>
      </c>
      <c r="D24" s="25">
        <f t="shared" si="1"/>
        <v>3.0580755100476766</v>
      </c>
      <c r="E24" s="25">
        <f t="shared" si="17"/>
        <v>1.7032814010520266E-2</v>
      </c>
      <c r="F24" s="25">
        <f t="shared" si="2"/>
        <v>1.5045507562779472E-2</v>
      </c>
      <c r="G24" s="30">
        <f t="shared" si="18"/>
        <v>2.3130458778751434E-6</v>
      </c>
      <c r="H24" s="9">
        <f>'hours (1)'!$K24</f>
        <v>13</v>
      </c>
      <c r="I24" s="7">
        <f t="shared" si="3"/>
        <v>0</v>
      </c>
      <c r="J24" s="9">
        <f t="shared" si="4"/>
        <v>0.59813387678164898</v>
      </c>
      <c r="K24" s="18">
        <f t="shared" si="19"/>
        <v>1.5045507562779468E-2</v>
      </c>
      <c r="L24" s="19">
        <f t="shared" si="5"/>
        <v>-1.3229351905579695E-3</v>
      </c>
      <c r="M24" s="19">
        <f t="shared" si="6"/>
        <v>3.2437154099726168E-2</v>
      </c>
      <c r="N24" s="19">
        <f t="shared" si="7"/>
        <v>1.1171309379546093E-2</v>
      </c>
      <c r="O24" s="19">
        <f t="shared" si="8"/>
        <v>5.9789026812806512E-8</v>
      </c>
      <c r="P24" s="21">
        <f t="shared" si="9"/>
        <v>39.284772097883433</v>
      </c>
      <c r="Q24" s="9">
        <f t="shared" si="20"/>
        <v>3.0219055459910331</v>
      </c>
      <c r="R24" s="9">
        <f t="shared" si="10"/>
        <v>6.2677565442416023</v>
      </c>
      <c r="S24" s="6">
        <f t="shared" si="21"/>
        <v>2.482027454410422E-2</v>
      </c>
      <c r="T24" s="6">
        <f t="shared" si="11"/>
        <v>1.6871048753141035E-2</v>
      </c>
      <c r="U24" s="6">
        <f t="shared" si="12"/>
        <v>1.0832188927560842</v>
      </c>
      <c r="V24" s="6">
        <f t="shared" si="13"/>
        <v>0</v>
      </c>
      <c r="W24" s="6">
        <f t="shared" si="14"/>
        <v>-1.1898191927994099E-2</v>
      </c>
      <c r="X24" s="6">
        <f t="shared" si="15"/>
        <v>-1.1898191927993986E-2</v>
      </c>
      <c r="Y24">
        <f t="shared" si="16"/>
        <v>0.29298915120161517</v>
      </c>
      <c r="AA24" s="43">
        <f t="shared" si="22"/>
        <v>13</v>
      </c>
      <c r="AB24" s="6">
        <f t="shared" si="23"/>
        <v>2.0481178023114513E-2</v>
      </c>
      <c r="AC24" s="6">
        <f>VLOOKUP($C24,'hours (1)'!$A$19:$P$103,16)</f>
        <v>0.6322132591886811</v>
      </c>
      <c r="AD24" s="6">
        <f t="shared" si="24"/>
        <v>2.9535905602966404E-2</v>
      </c>
    </row>
    <row r="25" spans="1:30" x14ac:dyDescent="0.25">
      <c r="A25" s="39">
        <f>'hours (1)'!$A25*'hours (1)'!$B25/'hours (1)'!$A$105</f>
        <v>3.4482549024802218E-4</v>
      </c>
      <c r="B25" s="9">
        <f>'hours (1)'!$E25</f>
        <v>12.19442501958761</v>
      </c>
      <c r="C25" s="26">
        <f>'hours (1)'!$A25</f>
        <v>14</v>
      </c>
      <c r="D25" s="25">
        <f t="shared" si="1"/>
        <v>2.8396415450442709</v>
      </c>
      <c r="E25" s="25">
        <f t="shared" si="17"/>
        <v>1.5738301450694017E-2</v>
      </c>
      <c r="F25" s="25">
        <f t="shared" si="2"/>
        <v>1.3892945463506137E-2</v>
      </c>
      <c r="G25" s="30">
        <f t="shared" si="18"/>
        <v>3.0109234339961383E-6</v>
      </c>
      <c r="H25" s="9">
        <f>'hours (1)'!$K25</f>
        <v>14</v>
      </c>
      <c r="I25" s="7">
        <f t="shared" si="3"/>
        <v>0</v>
      </c>
      <c r="J25" s="9">
        <f t="shared" si="4"/>
        <v>0.5523137916968891</v>
      </c>
      <c r="K25" s="18">
        <f t="shared" si="19"/>
        <v>1.3892945463506137E-2</v>
      </c>
      <c r="L25" s="19">
        <f t="shared" si="5"/>
        <v>-1.9649813494456159E-3</v>
      </c>
      <c r="M25" s="19">
        <f t="shared" si="6"/>
        <v>3.6531889470088105E-2</v>
      </c>
      <c r="N25" s="19">
        <f t="shared" si="7"/>
        <v>1.4541846109077407E-2</v>
      </c>
      <c r="O25" s="19">
        <f t="shared" si="8"/>
        <v>1.7679821238958393E-7</v>
      </c>
      <c r="P25" s="21">
        <f t="shared" si="9"/>
        <v>39.444413391022024</v>
      </c>
      <c r="Q25" s="9">
        <f t="shared" si="20"/>
        <v>2.8174580993587162</v>
      </c>
      <c r="R25" s="9">
        <f t="shared" si="10"/>
        <v>6.2804787549216359</v>
      </c>
      <c r="S25" s="6">
        <f t="shared" si="21"/>
        <v>2.4769996727044667E-2</v>
      </c>
      <c r="T25" s="6">
        <f t="shared" si="11"/>
        <v>1.7388572778293136E-2</v>
      </c>
      <c r="U25" s="6">
        <f t="shared" si="12"/>
        <v>0.96264168831209596</v>
      </c>
      <c r="V25" s="6">
        <f t="shared" si="13"/>
        <v>0</v>
      </c>
      <c r="W25" s="6">
        <f t="shared" si="14"/>
        <v>-7.8427324196665114E-3</v>
      </c>
      <c r="X25" s="6">
        <f t="shared" si="15"/>
        <v>-7.8427324196666242E-3</v>
      </c>
      <c r="Y25">
        <f t="shared" si="16"/>
        <v>0.34133129929684314</v>
      </c>
      <c r="AA25" s="43">
        <f t="shared" si="22"/>
        <v>14</v>
      </c>
      <c r="AB25" s="6">
        <f t="shared" si="23"/>
        <v>2.1490947317965962E-2</v>
      </c>
      <c r="AC25" s="6">
        <f>VLOOKUP($C25,'hours (1)'!$A$19:$P$103,16)</f>
        <v>0.76536742273804459</v>
      </c>
      <c r="AD25" s="6">
        <f t="shared" si="24"/>
        <v>3.1179068750008896E-2</v>
      </c>
    </row>
    <row r="26" spans="1:30" x14ac:dyDescent="0.25">
      <c r="A26" s="39">
        <f>'hours (1)'!$A26*'hours (1)'!$B26/'hours (1)'!$A$105</f>
        <v>4.418785229213182E-3</v>
      </c>
      <c r="B26" s="9">
        <f>'hours (1)'!$E26</f>
        <v>13.19442501958761</v>
      </c>
      <c r="C26" s="26">
        <f>'hours (1)'!$A26</f>
        <v>15</v>
      </c>
      <c r="D26" s="25">
        <f t="shared" si="1"/>
        <v>2.6503321087079863</v>
      </c>
      <c r="E26" s="25">
        <f t="shared" si="17"/>
        <v>1.4626959797099919E-2</v>
      </c>
      <c r="F26" s="25">
        <f t="shared" si="2"/>
        <v>1.2904627542391229E-2</v>
      </c>
      <c r="G26" s="30">
        <f t="shared" si="18"/>
        <v>3.6093509685238743E-6</v>
      </c>
      <c r="H26" s="9">
        <f>'hours (1)'!$K26</f>
        <v>15</v>
      </c>
      <c r="I26" s="7">
        <f t="shared" si="3"/>
        <v>0</v>
      </c>
      <c r="J26" s="9">
        <f t="shared" si="4"/>
        <v>0.51302323089775359</v>
      </c>
      <c r="K26" s="18">
        <f t="shared" si="19"/>
        <v>1.2904627542391229E-2</v>
      </c>
      <c r="L26" s="19">
        <f t="shared" si="5"/>
        <v>-2.5155336584376797E-3</v>
      </c>
      <c r="M26" s="19">
        <f t="shared" si="6"/>
        <v>4.0043110558568518E-2</v>
      </c>
      <c r="N26" s="19">
        <f t="shared" si="7"/>
        <v>1.7432069426044063E-2</v>
      </c>
      <c r="O26" s="19">
        <f t="shared" si="8"/>
        <v>3.3498766273398761E-7</v>
      </c>
      <c r="P26" s="21">
        <f t="shared" si="9"/>
        <v>39.554524783616401</v>
      </c>
      <c r="Q26" s="9">
        <f t="shared" si="20"/>
        <v>2.6369683189077602</v>
      </c>
      <c r="R26" s="9">
        <f t="shared" si="10"/>
        <v>6.289238807965269</v>
      </c>
      <c r="S26" s="6">
        <f t="shared" si="21"/>
        <v>2.4735495495362268E-2</v>
      </c>
      <c r="T26" s="6">
        <f t="shared" si="11"/>
        <v>1.7846166476527509E-2</v>
      </c>
      <c r="U26" s="6">
        <f t="shared" si="12"/>
        <v>0.88272757841648886</v>
      </c>
      <c r="V26" s="6">
        <f t="shared" si="13"/>
        <v>0</v>
      </c>
      <c r="W26" s="6">
        <f t="shared" si="14"/>
        <v>-5.0550629535737E-3</v>
      </c>
      <c r="X26" s="6">
        <f t="shared" si="15"/>
        <v>-5.055062953573811E-3</v>
      </c>
      <c r="Y26">
        <f t="shared" si="16"/>
        <v>0.38355692398718988</v>
      </c>
      <c r="AA26" s="43">
        <f t="shared" si="22"/>
        <v>15</v>
      </c>
      <c r="AB26" s="6">
        <f t="shared" si="23"/>
        <v>3.3601755842749742E-2</v>
      </c>
      <c r="AC26" s="6">
        <f>VLOOKUP($C26,'hours (1)'!$A$19:$P$103,16)</f>
        <v>0.61425585732695664</v>
      </c>
      <c r="AD26" s="6">
        <f t="shared" si="24"/>
        <v>4.699559101075975E-2</v>
      </c>
    </row>
    <row r="27" spans="1:30" x14ac:dyDescent="0.25">
      <c r="A27" s="39">
        <f>'hours (1)'!$A27*'hours (1)'!$B27/'hours (1)'!$A$105</f>
        <v>2.1206169827711033E-3</v>
      </c>
      <c r="B27" s="9">
        <f>'hours (1)'!$E27</f>
        <v>14.19442501958761</v>
      </c>
      <c r="C27" s="26">
        <f>'hours (1)'!$A27</f>
        <v>16</v>
      </c>
      <c r="D27" s="25">
        <f t="shared" si="1"/>
        <v>2.4846863519137372</v>
      </c>
      <c r="E27" s="25">
        <f t="shared" si="17"/>
        <v>1.3662428337973195E-2</v>
      </c>
      <c r="F27" s="25">
        <f t="shared" si="2"/>
        <v>1.20477418491838E-2</v>
      </c>
      <c r="G27" s="30">
        <f t="shared" si="18"/>
        <v>4.1281961516404033E-6</v>
      </c>
      <c r="H27" s="9">
        <f>'hours (1)'!$K27</f>
        <v>16</v>
      </c>
      <c r="I27" s="7">
        <f t="shared" si="3"/>
        <v>0</v>
      </c>
      <c r="J27" s="9">
        <f t="shared" si="4"/>
        <v>0.47895775590475126</v>
      </c>
      <c r="K27" s="18">
        <f t="shared" si="19"/>
        <v>1.2047741849183799E-2</v>
      </c>
      <c r="L27" s="19">
        <f t="shared" si="5"/>
        <v>-2.9928703401457674E-3</v>
      </c>
      <c r="M27" s="19">
        <f t="shared" si="6"/>
        <v>4.3087389177955467E-2</v>
      </c>
      <c r="N27" s="19">
        <f t="shared" si="7"/>
        <v>1.9937934145859558E-2</v>
      </c>
      <c r="O27" s="19">
        <f t="shared" si="8"/>
        <v>5.1463445314980927E-7</v>
      </c>
      <c r="P27" s="21">
        <f t="shared" si="9"/>
        <v>39.634996679843809</v>
      </c>
      <c r="Q27" s="9">
        <f t="shared" si="20"/>
        <v>2.4771872924902381</v>
      </c>
      <c r="R27" s="9">
        <f t="shared" si="10"/>
        <v>6.2956331436833111</v>
      </c>
      <c r="S27" s="6">
        <f t="shared" si="21"/>
        <v>2.4710372198191097E-2</v>
      </c>
      <c r="T27" s="6">
        <f t="shared" si="11"/>
        <v>1.825162624303351E-2</v>
      </c>
      <c r="U27" s="6">
        <f t="shared" si="12"/>
        <v>0.82601914319799619</v>
      </c>
      <c r="V27" s="6">
        <f t="shared" si="13"/>
        <v>0</v>
      </c>
      <c r="W27" s="6">
        <f t="shared" si="14"/>
        <v>-3.0226747678636836E-3</v>
      </c>
      <c r="X27" s="6">
        <f t="shared" si="15"/>
        <v>-3.0226747678636836E-3</v>
      </c>
      <c r="Y27">
        <f t="shared" si="16"/>
        <v>0.42060906597636794</v>
      </c>
      <c r="AA27" s="43">
        <f t="shared" si="22"/>
        <v>16</v>
      </c>
      <c r="AB27" s="6">
        <f t="shared" si="23"/>
        <v>3.9061677494147018E-2</v>
      </c>
      <c r="AC27" s="6">
        <f>VLOOKUP($C27,'hours (1)'!$A$19:$P$103,16)</f>
        <v>0.67759767184437258</v>
      </c>
      <c r="AD27" s="6">
        <f t="shared" si="24"/>
        <v>5.48614628936204E-2</v>
      </c>
    </row>
    <row r="28" spans="1:30" x14ac:dyDescent="0.25">
      <c r="A28" s="39">
        <f>'hours (1)'!$A28*'hours (1)'!$B28/'hours (1)'!$A$105</f>
        <v>3.8077406738622752E-4</v>
      </c>
      <c r="B28" s="9">
        <f>'hours (1)'!$E28</f>
        <v>15.19442501958761</v>
      </c>
      <c r="C28" s="26">
        <f>'hours (1)'!$A28</f>
        <v>17</v>
      </c>
      <c r="D28" s="25">
        <f t="shared" si="1"/>
        <v>2.3385283312129292</v>
      </c>
      <c r="E28" s="25">
        <f t="shared" si="17"/>
        <v>1.2817384255728511E-2</v>
      </c>
      <c r="F28" s="25">
        <f t="shared" si="2"/>
        <v>1.1297679325103196E-2</v>
      </c>
      <c r="G28" s="30">
        <f t="shared" si="18"/>
        <v>4.5823597941663395E-6</v>
      </c>
      <c r="H28" s="9">
        <f>'hours (1)'!$K28</f>
        <v>17</v>
      </c>
      <c r="I28" s="7">
        <f t="shared" si="3"/>
        <v>0</v>
      </c>
      <c r="J28" s="9">
        <f t="shared" si="4"/>
        <v>0.44913903403811062</v>
      </c>
      <c r="K28" s="18">
        <f t="shared" si="19"/>
        <v>1.1297679325103196E-2</v>
      </c>
      <c r="L28" s="19">
        <f t="shared" si="5"/>
        <v>-3.4107001150578131E-3</v>
      </c>
      <c r="M28" s="19">
        <f t="shared" si="6"/>
        <v>4.5752154529229982E-2</v>
      </c>
      <c r="N28" s="19">
        <f t="shared" si="7"/>
        <v>2.2131406661095455E-2</v>
      </c>
      <c r="O28" s="19">
        <f t="shared" si="8"/>
        <v>7.0250744378663743E-7</v>
      </c>
      <c r="P28" s="21">
        <f t="shared" si="9"/>
        <v>39.696351404686361</v>
      </c>
      <c r="Q28" s="9">
        <f t="shared" si="20"/>
        <v>2.3350794943933155</v>
      </c>
      <c r="R28" s="9">
        <f t="shared" si="10"/>
        <v>6.3005040595722468</v>
      </c>
      <c r="S28" s="6">
        <f t="shared" si="21"/>
        <v>2.4691268624346265E-2</v>
      </c>
      <c r="T28" s="6">
        <f t="shared" si="11"/>
        <v>1.8612448901845005E-2</v>
      </c>
      <c r="U28" s="6">
        <f t="shared" si="12"/>
        <v>0.78375569123096034</v>
      </c>
      <c r="V28" s="6">
        <f t="shared" si="13"/>
        <v>0</v>
      </c>
      <c r="W28" s="6">
        <f t="shared" si="14"/>
        <v>-1.4758779830621369E-3</v>
      </c>
      <c r="X28" s="6">
        <f t="shared" si="15"/>
        <v>-1.4758779830621369E-3</v>
      </c>
      <c r="Y28">
        <f t="shared" si="16"/>
        <v>0.45331597828624604</v>
      </c>
      <c r="AA28" s="43">
        <f t="shared" si="22"/>
        <v>17</v>
      </c>
      <c r="AB28" s="6">
        <f t="shared" si="23"/>
        <v>3.9985810252651591E-2</v>
      </c>
      <c r="AC28" s="6">
        <f>VLOOKUP($C28,'hours (1)'!$A$19:$P$103,16)</f>
        <v>0.70159704938896383</v>
      </c>
      <c r="AD28" s="6">
        <f t="shared" si="24"/>
        <v>5.6239975277121004E-2</v>
      </c>
    </row>
    <row r="29" spans="1:30" x14ac:dyDescent="0.25">
      <c r="A29" s="39">
        <f>'hours (1)'!$A29*'hours (1)'!$B29/'hours (1)'!$A$105</f>
        <v>1.1795378188566624E-3</v>
      </c>
      <c r="B29" s="9">
        <f>'hours (1)'!$E29</f>
        <v>16.194425019587609</v>
      </c>
      <c r="C29" s="26">
        <f>'hours (1)'!$A29</f>
        <v>18</v>
      </c>
      <c r="D29" s="25">
        <f t="shared" si="1"/>
        <v>2.2086100905899886</v>
      </c>
      <c r="E29" s="25">
        <f t="shared" si="17"/>
        <v>1.207089587744121E-2</v>
      </c>
      <c r="F29" s="25">
        <f t="shared" si="2"/>
        <v>1.0635618998517301E-2</v>
      </c>
      <c r="G29" s="30">
        <f t="shared" si="18"/>
        <v>4.9832380141023716E-6</v>
      </c>
      <c r="H29" s="9">
        <f>'hours (1)'!$K29</f>
        <v>18</v>
      </c>
      <c r="I29" s="7">
        <f t="shared" si="3"/>
        <v>0</v>
      </c>
      <c r="J29" s="9">
        <f t="shared" si="4"/>
        <v>0.42281883791632618</v>
      </c>
      <c r="K29" s="18">
        <f t="shared" si="19"/>
        <v>1.0635618998517301E-2</v>
      </c>
      <c r="L29" s="19">
        <f t="shared" si="5"/>
        <v>-3.7795073922573669E-3</v>
      </c>
      <c r="M29" s="19">
        <f t="shared" si="6"/>
        <v>4.8104272335545005E-2</v>
      </c>
      <c r="N29" s="19">
        <f t="shared" si="7"/>
        <v>2.4067526761982132E-2</v>
      </c>
      <c r="O29" s="19">
        <f t="shared" si="8"/>
        <v>8.9055634082402246E-7</v>
      </c>
      <c r="P29" s="21">
        <f t="shared" si="9"/>
        <v>39.744666681008191</v>
      </c>
      <c r="Q29" s="9">
        <f t="shared" si="20"/>
        <v>2.2080370378337886</v>
      </c>
      <c r="R29" s="9">
        <f t="shared" si="10"/>
        <v>6.3043371325626447</v>
      </c>
      <c r="S29" s="6">
        <f t="shared" si="21"/>
        <v>2.467625619197272E-2</v>
      </c>
      <c r="T29" s="6">
        <f t="shared" si="11"/>
        <v>1.8935148676277085E-2</v>
      </c>
      <c r="U29" s="6">
        <f t="shared" si="12"/>
        <v>0.75107526495885124</v>
      </c>
      <c r="V29" s="6">
        <f t="shared" si="13"/>
        <v>0</v>
      </c>
      <c r="W29" s="6">
        <f t="shared" si="14"/>
        <v>-2.5949673711887295E-4</v>
      </c>
      <c r="X29" s="6">
        <f t="shared" si="15"/>
        <v>-2.5949673711898403E-4</v>
      </c>
      <c r="Y29">
        <f t="shared" si="16"/>
        <v>0.48236563460048287</v>
      </c>
      <c r="AA29" s="43">
        <f t="shared" si="22"/>
        <v>18</v>
      </c>
      <c r="AB29" s="6">
        <f t="shared" si="23"/>
        <v>4.2692780959549356E-2</v>
      </c>
      <c r="AC29" s="6">
        <f>VLOOKUP($C29,'hours (1)'!$A$19:$P$103,16)</f>
        <v>0.60885409318940575</v>
      </c>
      <c r="AD29" s="6">
        <f t="shared" si="24"/>
        <v>5.9744146661560728E-2</v>
      </c>
    </row>
    <row r="30" spans="1:30" x14ac:dyDescent="0.25">
      <c r="A30" s="39">
        <f>'hours (1)'!$A30*'hours (1)'!$B30/'hours (1)'!$A$105</f>
        <v>1.5061221130474982E-4</v>
      </c>
      <c r="B30" s="9">
        <f>'hours (1)'!$E30</f>
        <v>17.194425019587609</v>
      </c>
      <c r="C30" s="26">
        <f>'hours (1)'!$A30</f>
        <v>19</v>
      </c>
      <c r="D30" s="25">
        <f t="shared" si="1"/>
        <v>2.092367454243147</v>
      </c>
      <c r="E30" s="25">
        <f t="shared" si="17"/>
        <v>1.1406655451714128E-2</v>
      </c>
      <c r="F30" s="25">
        <f t="shared" si="2"/>
        <v>1.0046919461154635E-2</v>
      </c>
      <c r="G30" s="30">
        <f t="shared" si="18"/>
        <v>5.3396961994645698E-6</v>
      </c>
      <c r="H30" s="9">
        <f>'hours (1)'!$K30</f>
        <v>19</v>
      </c>
      <c r="I30" s="7">
        <f t="shared" si="3"/>
        <v>0</v>
      </c>
      <c r="J30" s="9">
        <f t="shared" si="4"/>
        <v>0.399415098622519</v>
      </c>
      <c r="K30" s="18">
        <f t="shared" si="19"/>
        <v>1.0046919461154633E-2</v>
      </c>
      <c r="L30" s="19">
        <f t="shared" si="5"/>
        <v>-4.1074483135673245E-3</v>
      </c>
      <c r="M30" s="19">
        <f t="shared" si="6"/>
        <v>5.0195759483764119E-2</v>
      </c>
      <c r="N30" s="19">
        <f t="shared" si="7"/>
        <v>2.5789111581220922E-2</v>
      </c>
      <c r="O30" s="19">
        <f t="shared" si="8"/>
        <v>1.0741303142353109E-6</v>
      </c>
      <c r="P30" s="21">
        <f t="shared" si="9"/>
        <v>39.783694548891553</v>
      </c>
      <c r="Q30" s="9">
        <f t="shared" si="20"/>
        <v>2.0938786604679764</v>
      </c>
      <c r="R30" s="9">
        <f t="shared" si="10"/>
        <v>6.307431691971904</v>
      </c>
      <c r="S30" s="6">
        <f t="shared" si="21"/>
        <v>2.4664149498707797E-2</v>
      </c>
      <c r="T30" s="6">
        <f t="shared" si="11"/>
        <v>1.9225205536469829E-2</v>
      </c>
      <c r="U30" s="6">
        <f t="shared" si="12"/>
        <v>0.72506936334734473</v>
      </c>
      <c r="V30" s="6">
        <f t="shared" si="13"/>
        <v>0</v>
      </c>
      <c r="W30" s="6">
        <f t="shared" si="14"/>
        <v>7.2198635678082763E-4</v>
      </c>
      <c r="X30" s="6">
        <f t="shared" si="15"/>
        <v>7.2198635678082763E-4</v>
      </c>
      <c r="Y30">
        <f t="shared" si="16"/>
        <v>0.50832047147509607</v>
      </c>
      <c r="AA30" s="43">
        <f t="shared" si="22"/>
        <v>19</v>
      </c>
      <c r="AB30" s="6">
        <f t="shared" si="23"/>
        <v>4.3020556866632829E-2</v>
      </c>
      <c r="AC30" s="6">
        <f>VLOOKUP($C30,'hours (1)'!$A$19:$P$103,16)</f>
        <v>0.7770279368612194</v>
      </c>
      <c r="AD30" s="6">
        <f t="shared" si="24"/>
        <v>6.028565134106946E-2</v>
      </c>
    </row>
    <row r="31" spans="1:30" x14ac:dyDescent="0.25">
      <c r="A31" s="39">
        <f>'hours (1)'!$A31*'hours (1)'!$B31/'hours (1)'!$A$105</f>
        <v>1.9264596892108569E-2</v>
      </c>
      <c r="B31" s="9">
        <f>'hours (1)'!$E31</f>
        <v>18.194425019587609</v>
      </c>
      <c r="C31" s="26">
        <f>'hours (1)'!$A31</f>
        <v>20</v>
      </c>
      <c r="D31" s="25">
        <f t="shared" si="1"/>
        <v>1.9877490815309897</v>
      </c>
      <c r="E31" s="25">
        <f t="shared" si="17"/>
        <v>1.0811768078753795E-2</v>
      </c>
      <c r="F31" s="25">
        <f t="shared" si="2"/>
        <v>9.5200188877222775E-3</v>
      </c>
      <c r="G31" s="30">
        <f t="shared" si="18"/>
        <v>5.6587350475557556E-6</v>
      </c>
      <c r="H31" s="9">
        <f>'hours (1)'!$K31</f>
        <v>20</v>
      </c>
      <c r="I31" s="7">
        <f t="shared" si="3"/>
        <v>0</v>
      </c>
      <c r="J31" s="9">
        <f t="shared" si="4"/>
        <v>0.37846817600455263</v>
      </c>
      <c r="K31" s="18">
        <f t="shared" si="19"/>
        <v>9.5200188877222775E-3</v>
      </c>
      <c r="L31" s="19">
        <f t="shared" si="5"/>
        <v>-4.4009635085414112E-3</v>
      </c>
      <c r="M31" s="19">
        <f t="shared" si="6"/>
        <v>5.2067691951487742E-2</v>
      </c>
      <c r="N31" s="19">
        <f t="shared" si="7"/>
        <v>2.7329972361463964E-2</v>
      </c>
      <c r="O31" s="19">
        <f t="shared" si="8"/>
        <v>1.2506873411505248E-6</v>
      </c>
      <c r="P31" s="21">
        <f t="shared" si="9"/>
        <v>39.815875240299228</v>
      </c>
      <c r="Q31" s="9">
        <f t="shared" si="20"/>
        <v>1.9907937620149614</v>
      </c>
      <c r="R31" s="9">
        <f t="shared" si="10"/>
        <v>6.309982190172903</v>
      </c>
      <c r="S31" s="6">
        <f t="shared" si="21"/>
        <v>2.4654180236191713E-2</v>
      </c>
      <c r="T31" s="6">
        <f t="shared" si="11"/>
        <v>1.9487183472065642E-2</v>
      </c>
      <c r="U31" s="6">
        <f t="shared" si="12"/>
        <v>0.70389406305875046</v>
      </c>
      <c r="V31" s="6">
        <f t="shared" si="13"/>
        <v>0</v>
      </c>
      <c r="W31" s="6">
        <f t="shared" si="14"/>
        <v>1.5305508564673546E-3</v>
      </c>
      <c r="X31" s="6">
        <f t="shared" si="15"/>
        <v>1.530550856467133E-3</v>
      </c>
      <c r="Y31">
        <f t="shared" si="16"/>
        <v>0.5316393588398286</v>
      </c>
      <c r="AA31" s="43">
        <f t="shared" si="22"/>
        <v>20</v>
      </c>
      <c r="AB31" s="6">
        <f t="shared" si="23"/>
        <v>8.2881863385665416E-2</v>
      </c>
      <c r="AC31" s="6">
        <f>VLOOKUP($C31,'hours (1)'!$A$19:$P$103,16)</f>
        <v>0.62853495092319212</v>
      </c>
      <c r="AD31" s="6">
        <f t="shared" si="24"/>
        <v>0.11355403443151699</v>
      </c>
    </row>
    <row r="32" spans="1:30" x14ac:dyDescent="0.25">
      <c r="A32" s="39">
        <f>'hours (1)'!$A32*'hours (1)'!$B32/'hours (1)'!$A$105</f>
        <v>5.8128356710323138E-4</v>
      </c>
      <c r="B32" s="9">
        <f>'hours (1)'!$E32</f>
        <v>19.194425019587609</v>
      </c>
      <c r="C32" s="26">
        <f>'hours (1)'!$A32</f>
        <v>21</v>
      </c>
      <c r="D32" s="25">
        <f t="shared" si="1"/>
        <v>1.8930943633628474</v>
      </c>
      <c r="E32" s="25">
        <f t="shared" si="17"/>
        <v>1.0275902620458896E-2</v>
      </c>
      <c r="F32" s="25">
        <f t="shared" si="2"/>
        <v>9.0456652956669749E-3</v>
      </c>
      <c r="G32" s="30">
        <f t="shared" si="18"/>
        <v>5.945956643484933E-6</v>
      </c>
      <c r="H32" s="9">
        <f>'hours (1)'!$K32</f>
        <v>21</v>
      </c>
      <c r="I32" s="7">
        <f t="shared" si="3"/>
        <v>0</v>
      </c>
      <c r="J32" s="9">
        <f t="shared" si="4"/>
        <v>0.3596102576659756</v>
      </c>
      <c r="K32" s="18">
        <f t="shared" si="19"/>
        <v>9.0456652956669749E-3</v>
      </c>
      <c r="L32" s="19">
        <f t="shared" si="5"/>
        <v>-4.665206885905368E-3</v>
      </c>
      <c r="M32" s="19">
        <f t="shared" si="6"/>
        <v>5.3752939481899936E-2</v>
      </c>
      <c r="N32" s="19">
        <f t="shared" si="7"/>
        <v>2.8717165473067699E-2</v>
      </c>
      <c r="O32" s="19">
        <f t="shared" si="8"/>
        <v>1.4189671972281159E-6</v>
      </c>
      <c r="P32" s="21">
        <f t="shared" si="9"/>
        <v>39.84286379024217</v>
      </c>
      <c r="Q32" s="9">
        <f t="shared" si="20"/>
        <v>1.8972792281067701</v>
      </c>
      <c r="R32" s="9">
        <f t="shared" si="10"/>
        <v>6.3121203878128123</v>
      </c>
      <c r="S32" s="6">
        <f t="shared" si="21"/>
        <v>2.4645828762082208E-2</v>
      </c>
      <c r="T32" s="6">
        <f t="shared" si="11"/>
        <v>1.972487946291452E-2</v>
      </c>
      <c r="U32" s="6">
        <f t="shared" si="12"/>
        <v>0.68632501199085083</v>
      </c>
      <c r="V32" s="6">
        <f t="shared" si="13"/>
        <v>0</v>
      </c>
      <c r="W32" s="6">
        <f t="shared" si="14"/>
        <v>2.2081551294960288E-3</v>
      </c>
      <c r="X32" s="6">
        <f t="shared" si="15"/>
        <v>2.2081551294958071E-3</v>
      </c>
      <c r="Y32">
        <f t="shared" si="16"/>
        <v>0.55269797936180298</v>
      </c>
      <c r="AA32" s="43">
        <f t="shared" si="22"/>
        <v>21</v>
      </c>
      <c r="AB32" s="6">
        <f t="shared" si="23"/>
        <v>8.4028127324233912E-2</v>
      </c>
      <c r="AC32" s="6">
        <f>VLOOKUP($C32,'hours (1)'!$A$19:$P$103,16)</f>
        <v>0.60823820986997867</v>
      </c>
      <c r="AD32" s="6">
        <f t="shared" si="24"/>
        <v>0.11503637120159325</v>
      </c>
    </row>
    <row r="33" spans="1:30" x14ac:dyDescent="0.25">
      <c r="A33" s="39">
        <f>'hours (1)'!$A33*'hours (1)'!$B33/'hours (1)'!$A$105</f>
        <v>6.8489502996424249E-4</v>
      </c>
      <c r="B33" s="9">
        <f>'hours (1)'!$E33</f>
        <v>20.194425019587609</v>
      </c>
      <c r="C33" s="26">
        <f>'hours (1)'!$A33</f>
        <v>22</v>
      </c>
      <c r="D33" s="25">
        <f t="shared" si="1"/>
        <v>1.8070446195736272</v>
      </c>
      <c r="E33" s="25">
        <f t="shared" si="17"/>
        <v>9.7906842673527832E-3</v>
      </c>
      <c r="F33" s="25">
        <f t="shared" si="2"/>
        <v>8.6163668209604943E-3</v>
      </c>
      <c r="G33" s="30">
        <f t="shared" si="18"/>
        <v>6.2058973187539872E-6</v>
      </c>
      <c r="H33" s="9">
        <f>'hours (1)'!$K33</f>
        <v>22</v>
      </c>
      <c r="I33" s="7">
        <f t="shared" si="3"/>
        <v>0</v>
      </c>
      <c r="J33" s="9">
        <f t="shared" si="4"/>
        <v>0.3425435046899663</v>
      </c>
      <c r="K33" s="18">
        <f t="shared" si="19"/>
        <v>8.6163668209604943E-3</v>
      </c>
      <c r="L33" s="19">
        <f t="shared" si="5"/>
        <v>-4.9043518628878735E-3</v>
      </c>
      <c r="M33" s="19">
        <f t="shared" si="6"/>
        <v>5.5278118602340685E-2</v>
      </c>
      <c r="N33" s="19">
        <f t="shared" si="7"/>
        <v>2.9972600020015096E-2</v>
      </c>
      <c r="O33" s="19">
        <f t="shared" si="8"/>
        <v>1.5784798698681435E-6</v>
      </c>
      <c r="P33" s="21">
        <f t="shared" si="9"/>
        <v>39.865822058596457</v>
      </c>
      <c r="Q33" s="9">
        <f t="shared" si="20"/>
        <v>1.8120828208452935</v>
      </c>
      <c r="R33" s="9">
        <f t="shared" si="10"/>
        <v>6.3139387119765784</v>
      </c>
      <c r="S33" s="6">
        <f t="shared" si="21"/>
        <v>2.4638731115427963E-2</v>
      </c>
      <c r="T33" s="6">
        <f t="shared" si="11"/>
        <v>1.9941461329858808E-2</v>
      </c>
      <c r="U33" s="6">
        <f t="shared" si="12"/>
        <v>0.67151799606706886</v>
      </c>
      <c r="V33" s="6">
        <f t="shared" si="13"/>
        <v>0</v>
      </c>
      <c r="W33" s="6">
        <f t="shared" si="14"/>
        <v>2.7842095141508622E-3</v>
      </c>
      <c r="X33" s="6">
        <f t="shared" si="15"/>
        <v>2.7842095141508622E-3</v>
      </c>
      <c r="Y33">
        <f t="shared" si="16"/>
        <v>0.57180569095635359</v>
      </c>
      <c r="AA33" s="43">
        <f t="shared" si="22"/>
        <v>22</v>
      </c>
      <c r="AB33" s="6">
        <f t="shared" si="23"/>
        <v>8.5318061027084405E-2</v>
      </c>
      <c r="AC33" s="6">
        <f>VLOOKUP($C33,'hours (1)'!$A$19:$P$103,16)</f>
        <v>0.66033213534510571</v>
      </c>
      <c r="AD33" s="6">
        <f t="shared" si="24"/>
        <v>0.11684737088956447</v>
      </c>
    </row>
    <row r="34" spans="1:30" x14ac:dyDescent="0.25">
      <c r="A34" s="39">
        <f>'hours (1)'!$A34*'hours (1)'!$B34/'hours (1)'!$A$105</f>
        <v>6.7019129533823878E-4</v>
      </c>
      <c r="B34" s="9">
        <f>'hours (1)'!$E34</f>
        <v>21.194425019587609</v>
      </c>
      <c r="C34" s="26">
        <f>'hours (1)'!$A34</f>
        <v>23</v>
      </c>
      <c r="D34" s="25">
        <f t="shared" si="1"/>
        <v>1.7284774622008607</v>
      </c>
      <c r="E34" s="25">
        <f t="shared" si="17"/>
        <v>9.3492521052236759E-3</v>
      </c>
      <c r="F34" s="25">
        <f t="shared" si="2"/>
        <v>8.2259919391093131E-3</v>
      </c>
      <c r="G34" s="30">
        <f t="shared" si="18"/>
        <v>6.442269717854294E-6</v>
      </c>
      <c r="H34" s="9">
        <f>'hours (1)'!$K34</f>
        <v>23</v>
      </c>
      <c r="I34" s="7">
        <f t="shared" si="3"/>
        <v>0</v>
      </c>
      <c r="J34" s="9">
        <f t="shared" si="4"/>
        <v>0.32702415843291727</v>
      </c>
      <c r="K34" s="18">
        <f t="shared" si="19"/>
        <v>8.2259919391093131E-3</v>
      </c>
      <c r="L34" s="19">
        <f t="shared" si="5"/>
        <v>-5.1218140660757167E-3</v>
      </c>
      <c r="M34" s="19">
        <f t="shared" si="6"/>
        <v>5.6665012928837022E-2</v>
      </c>
      <c r="N34" s="19">
        <f t="shared" si="7"/>
        <v>3.1114206948089012E-2</v>
      </c>
      <c r="O34" s="19">
        <f t="shared" si="8"/>
        <v>1.7291918229106473E-6</v>
      </c>
      <c r="P34" s="21">
        <f t="shared" si="9"/>
        <v>39.88558955293621</v>
      </c>
      <c r="Q34" s="9">
        <f t="shared" si="20"/>
        <v>1.7341560675189656</v>
      </c>
      <c r="R34" s="9">
        <f t="shared" si="10"/>
        <v>6.315503903326813</v>
      </c>
      <c r="S34" s="6">
        <f t="shared" si="21"/>
        <v>2.4632624820599726E-2</v>
      </c>
      <c r="T34" s="6">
        <f t="shared" si="11"/>
        <v>2.0139584156142275E-2</v>
      </c>
      <c r="U34" s="6">
        <f t="shared" si="12"/>
        <v>0.65887237493987716</v>
      </c>
      <c r="V34" s="6">
        <f t="shared" si="13"/>
        <v>0</v>
      </c>
      <c r="W34" s="6">
        <f t="shared" si="14"/>
        <v>3.2799372848605723E-3</v>
      </c>
      <c r="X34" s="6">
        <f t="shared" si="15"/>
        <v>3.2799372848605723E-3</v>
      </c>
      <c r="Y34">
        <f t="shared" si="16"/>
        <v>0.5892189356946631</v>
      </c>
      <c r="AA34" s="43">
        <f t="shared" si="22"/>
        <v>23</v>
      </c>
      <c r="AB34" s="6">
        <f t="shared" si="23"/>
        <v>8.6526020307386819E-2</v>
      </c>
      <c r="AC34" s="6">
        <f>VLOOKUP($C34,'hours (1)'!$A$19:$P$103,16)</f>
        <v>0.69853276468925896</v>
      </c>
      <c r="AD34" s="6">
        <f t="shared" si="24"/>
        <v>0.11864139232914069</v>
      </c>
    </row>
    <row r="35" spans="1:30" x14ac:dyDescent="0.25">
      <c r="A35" s="39">
        <f>'hours (1)'!$A35*'hours (1)'!$B35/'hours (1)'!$A$105</f>
        <v>6.0546651572067987E-3</v>
      </c>
      <c r="B35" s="9">
        <f>'hours (1)'!$E35</f>
        <v>22.194425019587609</v>
      </c>
      <c r="C35" s="26">
        <f>'hours (1)'!$A35</f>
        <v>24</v>
      </c>
      <c r="D35" s="25">
        <f t="shared" si="1"/>
        <v>1.6564575679424915</v>
      </c>
      <c r="E35" s="25">
        <f t="shared" si="17"/>
        <v>8.9459316262488452E-3</v>
      </c>
      <c r="F35" s="25">
        <f t="shared" si="2"/>
        <v>7.8694739670559146E-3</v>
      </c>
      <c r="G35" s="30">
        <f t="shared" si="18"/>
        <v>6.658141722674429E-6</v>
      </c>
      <c r="H35" s="9">
        <f>'hours (1)'!$K35</f>
        <v>24</v>
      </c>
      <c r="I35" s="7">
        <f t="shared" si="3"/>
        <v>0</v>
      </c>
      <c r="J35" s="9">
        <f t="shared" si="4"/>
        <v>0.31285079300294855</v>
      </c>
      <c r="K35" s="18">
        <f t="shared" si="19"/>
        <v>7.8694739670559146E-3</v>
      </c>
      <c r="L35" s="19">
        <f t="shared" si="5"/>
        <v>-5.3204159415630586E-3</v>
      </c>
      <c r="M35" s="19">
        <f t="shared" si="6"/>
        <v>5.7931622989377062E-2</v>
      </c>
      <c r="N35" s="19">
        <f t="shared" si="7"/>
        <v>3.2156803195442292E-2</v>
      </c>
      <c r="O35" s="19">
        <f t="shared" si="8"/>
        <v>1.8713335969283706E-6</v>
      </c>
      <c r="P35" s="21">
        <f t="shared" si="9"/>
        <v>39.902787898320682</v>
      </c>
      <c r="Q35" s="9">
        <f t="shared" si="20"/>
        <v>1.6626161624300284</v>
      </c>
      <c r="R35" s="9">
        <f t="shared" si="10"/>
        <v>6.3168653538223118</v>
      </c>
      <c r="S35" s="6">
        <f t="shared" si="21"/>
        <v>2.4627315842587847E-2</v>
      </c>
      <c r="T35" s="6">
        <f t="shared" si="11"/>
        <v>2.0321485205816121E-2</v>
      </c>
      <c r="U35" s="6">
        <f t="shared" si="12"/>
        <v>0.64794934316584218</v>
      </c>
      <c r="V35" s="6">
        <f t="shared" si="13"/>
        <v>0</v>
      </c>
      <c r="W35" s="6">
        <f t="shared" si="14"/>
        <v>3.7110363045475244E-3</v>
      </c>
      <c r="X35" s="6">
        <f t="shared" si="15"/>
        <v>3.7110363045475244E-3</v>
      </c>
      <c r="Y35">
        <f t="shared" si="16"/>
        <v>0.60515175555545286</v>
      </c>
      <c r="AA35" s="43">
        <f t="shared" si="22"/>
        <v>24</v>
      </c>
      <c r="AB35" s="6">
        <f t="shared" si="23"/>
        <v>9.6988809144923055E-2</v>
      </c>
      <c r="AC35" s="6">
        <f>VLOOKUP($C35,'hours (1)'!$A$19:$P$103,16)</f>
        <v>0.69714167607863164</v>
      </c>
      <c r="AD35" s="6">
        <f t="shared" si="24"/>
        <v>0.13414943756727515</v>
      </c>
    </row>
    <row r="36" spans="1:30" x14ac:dyDescent="0.25">
      <c r="A36" s="39">
        <f>'hours (1)'!$A36*'hours (1)'!$B36/'hours (1)'!$A$105</f>
        <v>1.2872118231051756E-2</v>
      </c>
      <c r="B36" s="9">
        <f>'hours (1)'!$E36</f>
        <v>23.194425019587609</v>
      </c>
      <c r="C36" s="26">
        <f>'hours (1)'!$A36</f>
        <v>25</v>
      </c>
      <c r="D36" s="25">
        <f t="shared" si="1"/>
        <v>1.5901992652247918</v>
      </c>
      <c r="E36" s="25">
        <f t="shared" si="17"/>
        <v>8.5759887721019498E-3</v>
      </c>
      <c r="F36" s="25">
        <f t="shared" si="2"/>
        <v>7.5425894192767372E-3</v>
      </c>
      <c r="G36" s="30">
        <f t="shared" si="18"/>
        <v>6.8560706581145912E-6</v>
      </c>
      <c r="H36" s="9">
        <f>'hours (1)'!$K36</f>
        <v>25</v>
      </c>
      <c r="I36" s="7">
        <f t="shared" si="3"/>
        <v>0</v>
      </c>
      <c r="J36" s="9">
        <f t="shared" si="4"/>
        <v>0.29985550381065385</v>
      </c>
      <c r="K36" s="18">
        <f t="shared" si="19"/>
        <v>7.5425894192767354E-3</v>
      </c>
      <c r="L36" s="19">
        <f t="shared" si="5"/>
        <v>-5.5025102238873552E-3</v>
      </c>
      <c r="M36" s="19">
        <f t="shared" si="6"/>
        <v>5.9092953663585468E-2</v>
      </c>
      <c r="N36" s="19">
        <f t="shared" si="7"/>
        <v>3.3112739864972374E-2</v>
      </c>
      <c r="O36" s="19">
        <f t="shared" si="8"/>
        <v>2.0052816293442133E-6</v>
      </c>
      <c r="P36" s="21">
        <f t="shared" si="9"/>
        <v>39.91788717603319</v>
      </c>
      <c r="Q36" s="9">
        <f t="shared" si="20"/>
        <v>1.5967154870413276</v>
      </c>
      <c r="R36" s="9">
        <f t="shared" si="10"/>
        <v>6.3180603966750102</v>
      </c>
      <c r="S36" s="6">
        <f t="shared" si="21"/>
        <v>2.4622657657016475E-2</v>
      </c>
      <c r="T36" s="6">
        <f t="shared" si="11"/>
        <v>2.0489060245715618E-2</v>
      </c>
      <c r="U36" s="6">
        <f t="shared" si="12"/>
        <v>0.63842098296729322</v>
      </c>
      <c r="V36" s="6">
        <f t="shared" si="13"/>
        <v>0</v>
      </c>
      <c r="W36" s="6">
        <f t="shared" si="14"/>
        <v>4.0893663018458813E-3</v>
      </c>
      <c r="X36" s="6">
        <f t="shared" si="15"/>
        <v>4.0893663018458813E-3</v>
      </c>
      <c r="Y36">
        <f t="shared" si="16"/>
        <v>0.61978401556284646</v>
      </c>
      <c r="AA36" s="43">
        <f t="shared" si="22"/>
        <v>25</v>
      </c>
      <c r="AB36" s="6">
        <f t="shared" si="23"/>
        <v>0.11835085730981702</v>
      </c>
      <c r="AC36" s="6">
        <f>VLOOKUP($C36,'hours (1)'!$A$19:$P$103,16)</f>
        <v>0.62001171553543699</v>
      </c>
      <c r="AD36" s="6">
        <f t="shared" si="24"/>
        <v>0.16230935249153794</v>
      </c>
    </row>
    <row r="37" spans="1:30" x14ac:dyDescent="0.25">
      <c r="A37" s="39">
        <f>'hours (1)'!$A37*'hours (1)'!$B37/'hours (1)'!$A$105</f>
        <v>6.2421781477626419E-4</v>
      </c>
      <c r="B37" s="9">
        <f>'hours (1)'!$E37</f>
        <v>24.194425019587609</v>
      </c>
      <c r="C37" s="26">
        <f>'hours (1)'!$A37</f>
        <v>26</v>
      </c>
      <c r="D37" s="25">
        <f t="shared" si="1"/>
        <v>1.5290377550238383</v>
      </c>
      <c r="E37" s="25">
        <f t="shared" si="17"/>
        <v>8.2354427594311663E-3</v>
      </c>
      <c r="F37" s="25">
        <f t="shared" si="2"/>
        <v>7.2417895355607696E-3</v>
      </c>
      <c r="G37" s="30">
        <f t="shared" si="18"/>
        <v>7.0382053021927972E-6</v>
      </c>
      <c r="H37" s="9">
        <f>'hours (1)'!$K37</f>
        <v>26</v>
      </c>
      <c r="I37" s="7">
        <f t="shared" si="3"/>
        <v>0</v>
      </c>
      <c r="J37" s="9">
        <f t="shared" si="4"/>
        <v>0.28789720995903301</v>
      </c>
      <c r="K37" s="18">
        <f t="shared" si="19"/>
        <v>7.2417895355607687E-3</v>
      </c>
      <c r="L37" s="19">
        <f t="shared" si="5"/>
        <v>-5.6700737851526767E-3</v>
      </c>
      <c r="M37" s="19">
        <f t="shared" si="6"/>
        <v>6.0161612718077274E-2</v>
      </c>
      <c r="N37" s="19">
        <f t="shared" si="7"/>
        <v>3.3992394902165282E-2</v>
      </c>
      <c r="O37" s="19">
        <f t="shared" si="8"/>
        <v>2.1314856905457757E-6</v>
      </c>
      <c r="P37" s="21">
        <f t="shared" si="9"/>
        <v>39.931249428475098</v>
      </c>
      <c r="Q37" s="9">
        <f t="shared" si="20"/>
        <v>1.5358172857105807</v>
      </c>
      <c r="R37" s="9">
        <f t="shared" si="10"/>
        <v>6.3191177729549475</v>
      </c>
      <c r="S37" s="6">
        <f t="shared" si="21"/>
        <v>2.4618537554323187E-2</v>
      </c>
      <c r="T37" s="6">
        <f t="shared" si="11"/>
        <v>2.0643924658841593E-2</v>
      </c>
      <c r="U37" s="6">
        <f t="shared" si="12"/>
        <v>0.6300373927299141</v>
      </c>
      <c r="V37" s="6">
        <f t="shared" si="13"/>
        <v>0</v>
      </c>
      <c r="W37" s="6">
        <f t="shared" si="14"/>
        <v>4.4240537671047077E-3</v>
      </c>
      <c r="X37" s="6">
        <f t="shared" si="15"/>
        <v>4.4240537671047077E-3</v>
      </c>
      <c r="Y37">
        <f t="shared" si="16"/>
        <v>0.63326784880976439</v>
      </c>
      <c r="AA37" s="43">
        <f t="shared" si="22"/>
        <v>26</v>
      </c>
      <c r="AB37" s="6">
        <f t="shared" si="23"/>
        <v>0.1193472741123605</v>
      </c>
      <c r="AC37" s="6">
        <f>VLOOKUP($C37,'hours (1)'!$A$19:$P$103,16)</f>
        <v>0.7536528778924938</v>
      </c>
      <c r="AD37" s="6">
        <f t="shared" si="24"/>
        <v>0.1639059702554409</v>
      </c>
    </row>
    <row r="38" spans="1:30" x14ac:dyDescent="0.25">
      <c r="A38" s="39">
        <f>'hours (1)'!$A38*'hours (1)'!$B38/'hours (1)'!$A$105</f>
        <v>7.8317122395807619E-4</v>
      </c>
      <c r="B38" s="9">
        <f>'hours (1)'!$E38</f>
        <v>25.194425019587609</v>
      </c>
      <c r="C38" s="26">
        <f>'hours (1)'!$A38</f>
        <v>27</v>
      </c>
      <c r="D38" s="25">
        <f t="shared" si="1"/>
        <v>1.4724067270599923</v>
      </c>
      <c r="E38" s="25">
        <f t="shared" si="17"/>
        <v>7.9209219179048624E-3</v>
      </c>
      <c r="F38" s="25">
        <f t="shared" si="2"/>
        <v>6.9640706652889239E-3</v>
      </c>
      <c r="G38" s="30">
        <f t="shared" si="18"/>
        <v>7.2063643684992417E-6</v>
      </c>
      <c r="H38" s="9">
        <f>'hours (1)'!$K38</f>
        <v>27</v>
      </c>
      <c r="I38" s="7">
        <f t="shared" si="3"/>
        <v>0</v>
      </c>
      <c r="J38" s="9">
        <f t="shared" si="4"/>
        <v>0.27685650137289936</v>
      </c>
      <c r="K38" s="18">
        <f t="shared" si="19"/>
        <v>6.9640706652889239E-3</v>
      </c>
      <c r="L38" s="19">
        <f t="shared" si="5"/>
        <v>-5.8247798387536798E-3</v>
      </c>
      <c r="M38" s="19">
        <f t="shared" si="6"/>
        <v>6.1148271295377407E-2</v>
      </c>
      <c r="N38" s="19">
        <f t="shared" si="7"/>
        <v>3.4804552141523892E-2</v>
      </c>
      <c r="O38" s="19">
        <f t="shared" si="8"/>
        <v>2.2504245520832411E-6</v>
      </c>
      <c r="P38" s="21">
        <f t="shared" si="9"/>
        <v>39.943157997601872</v>
      </c>
      <c r="Q38" s="9">
        <f t="shared" si="20"/>
        <v>1.4793762221334026</v>
      </c>
      <c r="R38" s="9">
        <f t="shared" si="10"/>
        <v>6.3200599678801996</v>
      </c>
      <c r="S38" s="6">
        <f t="shared" si="21"/>
        <v>2.4614867421243962E-2</v>
      </c>
      <c r="T38" s="6">
        <f t="shared" si="11"/>
        <v>2.0787462410780205E-2</v>
      </c>
      <c r="U38" s="6">
        <f t="shared" si="12"/>
        <v>0.62260483618514051</v>
      </c>
      <c r="V38" s="6">
        <f t="shared" si="13"/>
        <v>0</v>
      </c>
      <c r="W38" s="6">
        <f t="shared" si="14"/>
        <v>4.7222361160889461E-3</v>
      </c>
      <c r="X38" s="6">
        <f t="shared" si="15"/>
        <v>4.7222361160889461E-3</v>
      </c>
      <c r="Y38">
        <f t="shared" si="16"/>
        <v>0.64573273213699811</v>
      </c>
      <c r="AA38" s="43">
        <f t="shared" si="22"/>
        <v>27</v>
      </c>
      <c r="AB38" s="6">
        <f t="shared" si="23"/>
        <v>0.12055147983851935</v>
      </c>
      <c r="AC38" s="6">
        <f>VLOOKUP($C38,'hours (1)'!$A$19:$P$103,16)</f>
        <v>0.68938735668071227</v>
      </c>
      <c r="AD38" s="6">
        <f t="shared" si="24"/>
        <v>0.16567100213869476</v>
      </c>
    </row>
    <row r="39" spans="1:30" x14ac:dyDescent="0.25">
      <c r="A39" s="39">
        <f>'hours (1)'!$A39*'hours (1)'!$B39/'hours (1)'!$A$105</f>
        <v>2.3171448092864709E-3</v>
      </c>
      <c r="B39" s="9">
        <f>'hours (1)'!$E39</f>
        <v>26.194425019587609</v>
      </c>
      <c r="C39" s="26">
        <f>'hours (1)'!$A39</f>
        <v>28</v>
      </c>
      <c r="D39" s="25">
        <f t="shared" si="1"/>
        <v>1.4198207725221355</v>
      </c>
      <c r="E39" s="25">
        <f t="shared" si="17"/>
        <v>7.6295514296298777E-3</v>
      </c>
      <c r="F39" s="25">
        <f t="shared" si="2"/>
        <v>6.7068734360359377E-3</v>
      </c>
      <c r="G39" s="30">
        <f t="shared" si="18"/>
        <v>7.3620975597132588E-6</v>
      </c>
      <c r="H39" s="9">
        <f>'hours (1)'!$K39</f>
        <v>28</v>
      </c>
      <c r="I39" s="7">
        <f t="shared" si="3"/>
        <v>0</v>
      </c>
      <c r="J39" s="9">
        <f t="shared" si="4"/>
        <v>0.26663163024850056</v>
      </c>
      <c r="K39" s="18">
        <f t="shared" si="19"/>
        <v>6.7068734360359377E-3</v>
      </c>
      <c r="L39" s="19">
        <f t="shared" si="5"/>
        <v>-5.9680541085067457E-3</v>
      </c>
      <c r="M39" s="19">
        <f t="shared" si="6"/>
        <v>6.2062022140078332E-2</v>
      </c>
      <c r="N39" s="19">
        <f t="shared" si="7"/>
        <v>3.5556696176519853E-2</v>
      </c>
      <c r="O39" s="19">
        <f t="shared" si="8"/>
        <v>2.3625792433673576E-6</v>
      </c>
      <c r="P39" s="21">
        <f t="shared" si="9"/>
        <v>39.95383779937535</v>
      </c>
      <c r="Q39" s="9">
        <f t="shared" si="20"/>
        <v>1.4269227785491196</v>
      </c>
      <c r="R39" s="9">
        <f t="shared" si="10"/>
        <v>6.3209048244199462</v>
      </c>
      <c r="S39" s="6">
        <f t="shared" si="21"/>
        <v>2.4611577380926401E-2</v>
      </c>
      <c r="T39" s="6">
        <f t="shared" si="11"/>
        <v>2.0920865406550637E-2</v>
      </c>
      <c r="U39" s="6">
        <f t="shared" si="12"/>
        <v>0.61597083488596938</v>
      </c>
      <c r="V39" s="6">
        <f t="shared" si="13"/>
        <v>0</v>
      </c>
      <c r="W39" s="6">
        <f t="shared" si="14"/>
        <v>4.9895753753578572E-3</v>
      </c>
      <c r="X39" s="6">
        <f t="shared" si="15"/>
        <v>4.989575375357636E-3</v>
      </c>
      <c r="Y39">
        <f t="shared" si="16"/>
        <v>0.65728950748911519</v>
      </c>
      <c r="AA39" s="43">
        <f t="shared" si="22"/>
        <v>28</v>
      </c>
      <c r="AB39" s="6">
        <f t="shared" si="23"/>
        <v>0.12398800065304882</v>
      </c>
      <c r="AC39" s="6">
        <f>VLOOKUP($C39,'hours (1)'!$A$19:$P$103,16)</f>
        <v>0.71162305464185771</v>
      </c>
      <c r="AD39" s="6">
        <f t="shared" si="24"/>
        <v>0.17087045375135243</v>
      </c>
    </row>
    <row r="40" spans="1:30" x14ac:dyDescent="0.25">
      <c r="A40" s="39">
        <f>'hours (1)'!$A40*'hours (1)'!$B40/'hours (1)'!$A$105</f>
        <v>3.744736305342058E-4</v>
      </c>
      <c r="B40" s="9">
        <f>'hours (1)'!$E40</f>
        <v>27.194425019587609</v>
      </c>
      <c r="C40" s="26">
        <f>'hours (1)'!$A40</f>
        <v>29</v>
      </c>
      <c r="D40" s="25">
        <f t="shared" si="1"/>
        <v>1.3708614355386137</v>
      </c>
      <c r="E40" s="25">
        <f t="shared" si="17"/>
        <v>7.358865023638239E-3</v>
      </c>
      <c r="F40" s="25">
        <f t="shared" si="2"/>
        <v>6.4680035125820202E-3</v>
      </c>
      <c r="G40" s="30">
        <f t="shared" si="18"/>
        <v>7.5067335481046287E-6</v>
      </c>
      <c r="H40" s="9">
        <f>'hours (1)'!$K40</f>
        <v>29</v>
      </c>
      <c r="I40" s="7">
        <f t="shared" si="3"/>
        <v>0</v>
      </c>
      <c r="J40" s="9">
        <f t="shared" si="4"/>
        <v>0.25713536082948252</v>
      </c>
      <c r="K40" s="18">
        <f t="shared" si="19"/>
        <v>6.4680035125820202E-3</v>
      </c>
      <c r="L40" s="19">
        <f t="shared" si="5"/>
        <v>-6.1011189706291769E-3</v>
      </c>
      <c r="M40" s="19">
        <f t="shared" si="6"/>
        <v>6.2910661120224476E-2</v>
      </c>
      <c r="N40" s="19">
        <f t="shared" si="7"/>
        <v>3.6255244090848619E-2</v>
      </c>
      <c r="O40" s="19">
        <f t="shared" si="8"/>
        <v>2.4684173257905062E-6</v>
      </c>
      <c r="P40" s="21">
        <f t="shared" si="9"/>
        <v>39.963469639982684</v>
      </c>
      <c r="Q40" s="9">
        <f t="shared" si="20"/>
        <v>1.3780506772407821</v>
      </c>
      <c r="R40" s="9">
        <f t="shared" si="10"/>
        <v>6.3216666821323857</v>
      </c>
      <c r="S40" s="6">
        <f t="shared" si="21"/>
        <v>2.4608611308688525E-2</v>
      </c>
      <c r="T40" s="6">
        <f t="shared" si="11"/>
        <v>2.104516526446365E-2</v>
      </c>
      <c r="U40" s="6">
        <f t="shared" si="12"/>
        <v>0.61001376242567429</v>
      </c>
      <c r="V40" s="6">
        <f t="shared" si="13"/>
        <v>0</v>
      </c>
      <c r="W40" s="6">
        <f t="shared" si="14"/>
        <v>5.2306205497406836E-3</v>
      </c>
      <c r="X40" s="6">
        <f t="shared" si="15"/>
        <v>5.2306205497406836E-3</v>
      </c>
      <c r="Y40">
        <f t="shared" si="16"/>
        <v>0.66803358883364217</v>
      </c>
      <c r="AA40" s="43">
        <f t="shared" si="22"/>
        <v>29</v>
      </c>
      <c r="AB40" s="6">
        <f t="shared" si="23"/>
        <v>0.12452435494745304</v>
      </c>
      <c r="AC40" s="6">
        <f>VLOOKUP($C40,'hours (1)'!$A$19:$P$103,16)</f>
        <v>0.80996890954765532</v>
      </c>
      <c r="AD40" s="6">
        <f t="shared" si="24"/>
        <v>0.17179410636552733</v>
      </c>
    </row>
    <row r="41" spans="1:30" x14ac:dyDescent="0.25">
      <c r="A41" s="39">
        <f>'hours (1)'!$A41*'hours (1)'!$B41/'hours (1)'!$A$105</f>
        <v>2.6237009772075728E-2</v>
      </c>
      <c r="B41" s="9">
        <f>'hours (1)'!$E41</f>
        <v>28.194425019587609</v>
      </c>
      <c r="C41" s="26">
        <f>'hours (1)'!$A41</f>
        <v>30</v>
      </c>
      <c r="D41" s="25">
        <f t="shared" si="1"/>
        <v>1.3251660543539932</v>
      </c>
      <c r="E41" s="25">
        <f t="shared" si="17"/>
        <v>7.1067348643545957E-3</v>
      </c>
      <c r="F41" s="25">
        <f t="shared" si="2"/>
        <v>6.2455687370002524E-3</v>
      </c>
      <c r="G41" s="30">
        <f t="shared" si="18"/>
        <v>7.6414180372763584E-6</v>
      </c>
      <c r="H41" s="9">
        <f>'hours (1)'!$K41</f>
        <v>29</v>
      </c>
      <c r="I41" s="7">
        <f t="shared" si="3"/>
        <v>0</v>
      </c>
      <c r="J41" s="9">
        <f t="shared" si="4"/>
        <v>0.2506172981922512</v>
      </c>
      <c r="K41" s="18">
        <f t="shared" si="19"/>
        <v>6.3040476416475703E-3</v>
      </c>
      <c r="L41" s="19">
        <f t="shared" si="5"/>
        <v>-5.8608654507492919E-3</v>
      </c>
      <c r="M41" s="19">
        <f t="shared" si="6"/>
        <v>6.3759389455898055E-2</v>
      </c>
      <c r="N41" s="19">
        <f t="shared" si="7"/>
        <v>3.6905729285092032E-2</v>
      </c>
      <c r="O41" s="19">
        <f t="shared" si="8"/>
        <v>2.1467803727331924E-6</v>
      </c>
      <c r="P41" s="21">
        <f t="shared" si="9"/>
        <v>39.902627954722433</v>
      </c>
      <c r="Q41" s="9">
        <f t="shared" si="20"/>
        <v>1.3759526880938771</v>
      </c>
      <c r="R41" s="9">
        <f t="shared" si="10"/>
        <v>6.3168526937647069</v>
      </c>
      <c r="S41" s="6">
        <f t="shared" si="21"/>
        <v>2.4627365199958097E-2</v>
      </c>
      <c r="T41" s="6">
        <f t="shared" si="11"/>
        <v>2.1063919155733222E-2</v>
      </c>
      <c r="U41" s="6">
        <f t="shared" si="12"/>
        <v>0.60415810309904328</v>
      </c>
      <c r="V41" s="6">
        <f t="shared" si="13"/>
        <v>-3.3901551675681339E-2</v>
      </c>
      <c r="W41" s="6">
        <f t="shared" si="14"/>
        <v>3.76085796407815E-2</v>
      </c>
      <c r="X41" s="6">
        <f t="shared" si="15"/>
        <v>3.707027965099917E-3</v>
      </c>
      <c r="Y41">
        <f t="shared" si="16"/>
        <v>0.67502358470217305</v>
      </c>
      <c r="AA41" s="43">
        <f t="shared" si="22"/>
        <v>29</v>
      </c>
      <c r="AB41" s="6">
        <f t="shared" si="23"/>
        <v>0.16204611226461627</v>
      </c>
      <c r="AC41" s="6">
        <f>VLOOKUP($C41,'hours (1)'!$A$19:$P$103,16)</f>
        <v>0.59836903719357315</v>
      </c>
      <c r="AD41" s="6">
        <f t="shared" si="24"/>
        <v>0.21952953597988722</v>
      </c>
    </row>
    <row r="42" spans="1:30" x14ac:dyDescent="0.25">
      <c r="A42" s="39">
        <f>'hours (1)'!$A42*'hours (1)'!$B42/'hours (1)'!$A$105</f>
        <v>2.528195908241891E-4</v>
      </c>
      <c r="B42" s="9">
        <f>'hours (1)'!$E42</f>
        <v>29.194425019587609</v>
      </c>
      <c r="C42" s="26">
        <f>'hours (1)'!$A42</f>
        <v>31</v>
      </c>
      <c r="D42" s="25">
        <f t="shared" si="1"/>
        <v>1.2824187622780578</v>
      </c>
      <c r="E42" s="25">
        <f t="shared" si="17"/>
        <v>6.8713154043590196E-3</v>
      </c>
      <c r="F42" s="25">
        <f t="shared" si="2"/>
        <v>6.0379288294999754E-3</v>
      </c>
      <c r="G42" s="30">
        <f t="shared" si="18"/>
        <v>7.7671442183566176E-6</v>
      </c>
      <c r="H42" s="9">
        <f>'hours (1)'!$K42</f>
        <v>29</v>
      </c>
      <c r="I42" s="7">
        <f t="shared" si="3"/>
        <v>0</v>
      </c>
      <c r="J42" s="9">
        <f t="shared" si="4"/>
        <v>0.24913432067459038</v>
      </c>
      <c r="K42" s="18">
        <f t="shared" si="19"/>
        <v>6.2667447060949953E-3</v>
      </c>
      <c r="L42" s="19">
        <f t="shared" si="5"/>
        <v>-4.9158016543530414E-3</v>
      </c>
      <c r="M42" s="19">
        <f t="shared" si="6"/>
        <v>6.466741377161328E-2</v>
      </c>
      <c r="N42" s="19">
        <f t="shared" si="7"/>
        <v>3.7512948570879244E-2</v>
      </c>
      <c r="O42" s="19">
        <f t="shared" si="8"/>
        <v>1.2484008441865369E-6</v>
      </c>
      <c r="P42" s="21">
        <f t="shared" si="9"/>
        <v>39.710983856929495</v>
      </c>
      <c r="Q42" s="9">
        <f t="shared" si="20"/>
        <v>1.3693442709286032</v>
      </c>
      <c r="R42" s="9">
        <f t="shared" si="10"/>
        <v>6.3016651654090206</v>
      </c>
      <c r="S42" s="6">
        <f t="shared" si="21"/>
        <v>2.4686719163947376E-2</v>
      </c>
      <c r="T42" s="6">
        <f t="shared" si="11"/>
        <v>2.1123273119722501E-2</v>
      </c>
      <c r="U42" s="6">
        <f t="shared" si="12"/>
        <v>0.60251973912870627</v>
      </c>
      <c r="V42" s="6">
        <f t="shared" si="13"/>
        <v>-6.6691374498672282E-2</v>
      </c>
      <c r="W42" s="6">
        <f t="shared" si="14"/>
        <v>6.5584038095819031E-2</v>
      </c>
      <c r="X42" s="6">
        <f t="shared" si="15"/>
        <v>-1.1073364028531274E-3</v>
      </c>
      <c r="Y42">
        <f t="shared" si="16"/>
        <v>0.67788378284698991</v>
      </c>
      <c r="AA42" s="43">
        <f t="shared" si="22"/>
        <v>29</v>
      </c>
      <c r="AB42" s="6">
        <f t="shared" si="23"/>
        <v>0.16240593508668469</v>
      </c>
      <c r="AC42" s="6">
        <f>VLOOKUP($C42,'hours (1)'!$A$19:$P$103,16)</f>
        <v>0.81852105456597501</v>
      </c>
      <c r="AD42" s="6">
        <f t="shared" si="24"/>
        <v>0.22015572740050554</v>
      </c>
    </row>
    <row r="43" spans="1:30" x14ac:dyDescent="0.25">
      <c r="A43" s="39">
        <f>'hours (1)'!$A43*'hours (1)'!$B43/'hours (1)'!$A$105</f>
        <v>1.1357041596156411E-2</v>
      </c>
      <c r="B43" s="9">
        <f>'hours (1)'!$E43</f>
        <v>30.194425019587609</v>
      </c>
      <c r="C43" s="26">
        <f>'hours (1)'!$A43</f>
        <v>32</v>
      </c>
      <c r="D43" s="25">
        <f t="shared" si="1"/>
        <v>1.2423431759568686</v>
      </c>
      <c r="E43" s="25">
        <f t="shared" si="17"/>
        <v>6.6509980597828254E-3</v>
      </c>
      <c r="F43" s="25">
        <f t="shared" si="2"/>
        <v>5.8436548153881262E-3</v>
      </c>
      <c r="G43" s="30">
        <f t="shared" si="18"/>
        <v>7.8847773370160578E-6</v>
      </c>
      <c r="H43" s="9">
        <f>'hours (1)'!$K43</f>
        <v>29</v>
      </c>
      <c r="I43" s="7">
        <f t="shared" si="3"/>
        <v>0</v>
      </c>
      <c r="J43" s="9">
        <f t="shared" si="4"/>
        <v>0.25234720203670286</v>
      </c>
      <c r="K43" s="18">
        <f t="shared" si="19"/>
        <v>6.3475617818508009E-3</v>
      </c>
      <c r="L43" s="19">
        <f t="shared" si="5"/>
        <v>-3.3109617064351754E-3</v>
      </c>
      <c r="M43" s="19">
        <f t="shared" si="6"/>
        <v>6.5632706871097179E-2</v>
      </c>
      <c r="N43" s="19">
        <f t="shared" si="7"/>
        <v>3.8081080822122207E-2</v>
      </c>
      <c r="O43" s="19">
        <f t="shared" si="8"/>
        <v>3.7753337112089724E-7</v>
      </c>
      <c r="P43" s="21">
        <f t="shared" si="9"/>
        <v>39.400526193622994</v>
      </c>
      <c r="Q43" s="9">
        <f t="shared" si="20"/>
        <v>1.3586388342628619</v>
      </c>
      <c r="R43" s="9">
        <f t="shared" si="10"/>
        <v>6.2769838452574493</v>
      </c>
      <c r="S43" s="6">
        <f t="shared" si="21"/>
        <v>2.4783788207647033E-2</v>
      </c>
      <c r="T43" s="6">
        <f t="shared" si="11"/>
        <v>2.1220342163422157E-2</v>
      </c>
      <c r="U43" s="6">
        <f t="shared" si="12"/>
        <v>0.60472786592186412</v>
      </c>
      <c r="V43" s="6">
        <f t="shared" si="13"/>
        <v>-9.8440072813252524E-2</v>
      </c>
      <c r="W43" s="6">
        <f t="shared" si="14"/>
        <v>8.9484086907368532E-2</v>
      </c>
      <c r="X43" s="6">
        <f t="shared" si="15"/>
        <v>-8.9559859058839786E-3</v>
      </c>
      <c r="Y43">
        <f t="shared" si="16"/>
        <v>0.67692168123782548</v>
      </c>
      <c r="AA43" s="43">
        <f t="shared" si="22"/>
        <v>29</v>
      </c>
      <c r="AB43" s="6">
        <f t="shared" si="23"/>
        <v>0.17844335765490194</v>
      </c>
      <c r="AC43" s="6">
        <f>VLOOKUP($C43,'hours (1)'!$A$19:$P$103,16)</f>
        <v>0.71987074955486186</v>
      </c>
      <c r="AD43" s="6">
        <f t="shared" si="24"/>
        <v>0.24470155346454295</v>
      </c>
    </row>
    <row r="44" spans="1:30" x14ac:dyDescent="0.25">
      <c r="A44" s="39">
        <f>'hours (1)'!$A44*'hours (1)'!$B44/'hours (1)'!$A$105</f>
        <v>9.0926864084060538E-4</v>
      </c>
      <c r="B44" s="9">
        <f>'hours (1)'!$E44</f>
        <v>31.194425019587609</v>
      </c>
      <c r="C44" s="26">
        <f>'hours (1)'!$A44</f>
        <v>33</v>
      </c>
      <c r="D44" s="25">
        <f t="shared" si="1"/>
        <v>1.2046964130490847</v>
      </c>
      <c r="E44" s="25">
        <f t="shared" si="17"/>
        <v>6.444374349546025E-3</v>
      </c>
      <c r="F44" s="25">
        <f t="shared" si="2"/>
        <v>5.6614960519511658E-3</v>
      </c>
      <c r="G44" s="30">
        <f t="shared" si="18"/>
        <v>7.9950746587252797E-6</v>
      </c>
      <c r="H44" s="9">
        <f>'hours (1)'!$K44</f>
        <v>29</v>
      </c>
      <c r="I44" s="7">
        <f t="shared" si="3"/>
        <v>0</v>
      </c>
      <c r="J44" s="9">
        <f t="shared" si="4"/>
        <v>0.25994988355815452</v>
      </c>
      <c r="K44" s="18">
        <f t="shared" si="19"/>
        <v>6.5388002432866877E-3</v>
      </c>
      <c r="L44" s="19">
        <f t="shared" si="5"/>
        <v>-1.0871955202925859E-3</v>
      </c>
      <c r="M44" s="19">
        <f t="shared" si="6"/>
        <v>6.6653263960186435E-2</v>
      </c>
      <c r="N44" s="19">
        <f t="shared" si="7"/>
        <v>3.8613783401147989E-2</v>
      </c>
      <c r="O44" s="19">
        <f t="shared" si="8"/>
        <v>1.3283970187738525E-8</v>
      </c>
      <c r="P44" s="21">
        <f t="shared" si="9"/>
        <v>38.981158948415853</v>
      </c>
      <c r="Q44" s="9">
        <f t="shared" si="20"/>
        <v>1.3441778947729603</v>
      </c>
      <c r="R44" s="9">
        <f t="shared" si="10"/>
        <v>6.2434893247619039</v>
      </c>
      <c r="S44" s="6">
        <f t="shared" si="21"/>
        <v>2.4916746087271489E-2</v>
      </c>
      <c r="T44" s="6">
        <f t="shared" si="11"/>
        <v>2.1353300043046614E-2</v>
      </c>
      <c r="U44" s="6">
        <f t="shared" si="12"/>
        <v>0.61054489234771558</v>
      </c>
      <c r="V44" s="6">
        <f t="shared" si="13"/>
        <v>-0.12921173148000623</v>
      </c>
      <c r="W44" s="6">
        <f t="shared" si="14"/>
        <v>0.10955499970191047</v>
      </c>
      <c r="X44" s="6">
        <f t="shared" si="15"/>
        <v>-1.9656731778095557E-2</v>
      </c>
      <c r="Y44">
        <f t="shared" si="16"/>
        <v>0.67250254201153259</v>
      </c>
      <c r="AA44" s="43">
        <f t="shared" si="22"/>
        <v>29</v>
      </c>
      <c r="AB44" s="6">
        <f t="shared" si="23"/>
        <v>0.17971368104432348</v>
      </c>
      <c r="AC44" s="6">
        <f>VLOOKUP($C44,'hours (1)'!$A$19:$P$103,16)</f>
        <v>0.72869783316357495</v>
      </c>
      <c r="AD44" s="6">
        <f t="shared" si="24"/>
        <v>0.24666966780227359</v>
      </c>
    </row>
    <row r="45" spans="1:30" x14ac:dyDescent="0.25">
      <c r="A45" s="39">
        <f>'hours (1)'!$A45*'hours (1)'!$B45/'hours (1)'!$A$105</f>
        <v>1.2454175232232191E-3</v>
      </c>
      <c r="B45" s="9">
        <f>'hours (1)'!$E45</f>
        <v>32.194425019587612</v>
      </c>
      <c r="C45" s="26">
        <f>'hours (1)'!$A45</f>
        <v>34</v>
      </c>
      <c r="D45" s="25">
        <f t="shared" si="1"/>
        <v>1.1692641656064646</v>
      </c>
      <c r="E45" s="25">
        <f t="shared" si="17"/>
        <v>6.2502057096161297E-3</v>
      </c>
      <c r="F45" s="25">
        <f t="shared" si="2"/>
        <v>5.4903532443034723E-3</v>
      </c>
      <c r="G45" s="30">
        <f t="shared" si="18"/>
        <v>8.0987018076868492E-6</v>
      </c>
      <c r="H45" s="9">
        <f>'hours (1)'!$K45</f>
        <v>29</v>
      </c>
      <c r="I45" s="7">
        <f t="shared" si="3"/>
        <v>0</v>
      </c>
      <c r="J45" s="9">
        <f t="shared" si="4"/>
        <v>0.27166528626794195</v>
      </c>
      <c r="K45" s="18">
        <f t="shared" si="19"/>
        <v>6.8334904237184173E-3</v>
      </c>
      <c r="L45" s="19">
        <f t="shared" si="5"/>
        <v>1.7183282319865184E-3</v>
      </c>
      <c r="M45" s="19">
        <f t="shared" si="6"/>
        <v>6.7727120158728782E-2</v>
      </c>
      <c r="N45" s="19">
        <f t="shared" si="7"/>
        <v>3.9114271070780152E-2</v>
      </c>
      <c r="O45" s="19">
        <f t="shared" si="8"/>
        <v>-5.233590001652022E-8</v>
      </c>
      <c r="P45" s="21">
        <f t="shared" si="9"/>
        <v>38.461014167151497</v>
      </c>
      <c r="Q45" s="9">
        <f t="shared" si="20"/>
        <v>1.3262418678328103</v>
      </c>
      <c r="R45" s="9">
        <f t="shared" si="10"/>
        <v>6.2016944593515326</v>
      </c>
      <c r="S45" s="6">
        <f t="shared" si="21"/>
        <v>2.5084666654143599E-2</v>
      </c>
      <c r="T45" s="6">
        <f t="shared" si="11"/>
        <v>2.1521220609918724E-2</v>
      </c>
      <c r="U45" s="6">
        <f t="shared" si="12"/>
        <v>0.61983958694906105</v>
      </c>
      <c r="V45" s="6">
        <f t="shared" si="13"/>
        <v>-0.15906469462968739</v>
      </c>
      <c r="W45" s="6">
        <f t="shared" si="14"/>
        <v>0.12597464655468055</v>
      </c>
      <c r="X45" s="6">
        <f t="shared" si="15"/>
        <v>-3.3090048075006914E-2</v>
      </c>
      <c r="Y45">
        <f t="shared" si="16"/>
        <v>0.66503295859510803</v>
      </c>
      <c r="AA45" s="43">
        <f t="shared" si="22"/>
        <v>29</v>
      </c>
      <c r="AB45" s="6">
        <f t="shared" si="23"/>
        <v>0.18143041516151201</v>
      </c>
      <c r="AC45" s="6">
        <f>VLOOKUP($C45,'hours (1)'!$A$19:$P$103,16)</f>
        <v>0.66627594416328395</v>
      </c>
      <c r="AD45" s="6">
        <f t="shared" si="24"/>
        <v>0.24910156786586457</v>
      </c>
    </row>
    <row r="46" spans="1:30" x14ac:dyDescent="0.25">
      <c r="A46" s="39">
        <f>'hours (1)'!$A46*'hours (1)'!$B46/'hours (1)'!$A$105</f>
        <v>3.8232323146654805E-2</v>
      </c>
      <c r="B46" s="9">
        <f>'hours (1)'!$E46</f>
        <v>33.194425019587612</v>
      </c>
      <c r="C46" s="26">
        <f>'hours (1)'!$A46</f>
        <v>35</v>
      </c>
      <c r="D46" s="25">
        <f t="shared" si="1"/>
        <v>1.1358566180177085</v>
      </c>
      <c r="E46" s="25">
        <f t="shared" si="17"/>
        <v>6.0673986129950114E-3</v>
      </c>
      <c r="F46" s="25">
        <f t="shared" si="2"/>
        <v>5.3292562181198582E-3</v>
      </c>
      <c r="G46" s="30">
        <f t="shared" si="18"/>
        <v>8.1962462254689918E-6</v>
      </c>
      <c r="H46" s="9">
        <f>'hours (1)'!$K46</f>
        <v>29</v>
      </c>
      <c r="I46" s="7">
        <f t="shared" si="3"/>
        <v>0</v>
      </c>
      <c r="J46" s="9">
        <f t="shared" si="4"/>
        <v>0.28724176394101519</v>
      </c>
      <c r="K46" s="18">
        <f t="shared" si="19"/>
        <v>7.2253023937955468E-3</v>
      </c>
      <c r="L46" s="19">
        <f t="shared" si="5"/>
        <v>5.0716925467826079E-3</v>
      </c>
      <c r="M46" s="19">
        <f t="shared" si="6"/>
        <v>6.8852362473593401E-2</v>
      </c>
      <c r="N46" s="19">
        <f t="shared" si="7"/>
        <v>3.9585380995453605E-2</v>
      </c>
      <c r="O46" s="19">
        <f t="shared" si="8"/>
        <v>-1.3483161832444912E-6</v>
      </c>
      <c r="P46" s="21">
        <f t="shared" si="9"/>
        <v>37.846667694747943</v>
      </c>
      <c r="Q46" s="9">
        <f t="shared" si="20"/>
        <v>1.3050575067154464</v>
      </c>
      <c r="R46" s="9">
        <f t="shared" si="10"/>
        <v>6.1519645394579401</v>
      </c>
      <c r="S46" s="6">
        <f t="shared" si="21"/>
        <v>2.5287440655077278E-2</v>
      </c>
      <c r="T46" s="6">
        <f t="shared" si="11"/>
        <v>2.1723994610852403E-2</v>
      </c>
      <c r="U46" s="6">
        <f t="shared" si="12"/>
        <v>0.63256783193384536</v>
      </c>
      <c r="V46" s="6">
        <f t="shared" si="13"/>
        <v>-0.18805223150293959</v>
      </c>
      <c r="W46" s="6">
        <f t="shared" si="14"/>
        <v>0.1388600104531019</v>
      </c>
      <c r="X46" s="6">
        <f t="shared" si="15"/>
        <v>-4.9192221049837719E-2</v>
      </c>
      <c r="Y46">
        <f t="shared" si="16"/>
        <v>0.65494960952750703</v>
      </c>
      <c r="AA46" s="43">
        <f t="shared" si="22"/>
        <v>29</v>
      </c>
      <c r="AB46" s="6">
        <f t="shared" si="23"/>
        <v>0.23328959803575217</v>
      </c>
      <c r="AC46" s="6">
        <f>VLOOKUP($C46,'hours (1)'!$A$19:$P$103,16)</f>
        <v>0.56215447999770085</v>
      </c>
      <c r="AD46" s="6">
        <f t="shared" si="24"/>
        <v>0.31108418333397714</v>
      </c>
    </row>
    <row r="47" spans="1:30" x14ac:dyDescent="0.25">
      <c r="A47" s="39">
        <f>'hours (1)'!$A47*'hours (1)'!$B47/'hours (1)'!$A$105</f>
        <v>1.0952227904653878E-2</v>
      </c>
      <c r="B47" s="9">
        <f>'hours (1)'!$E47</f>
        <v>34.194425019587612</v>
      </c>
      <c r="C47" s="26">
        <f>'hours (1)'!$A47</f>
        <v>36</v>
      </c>
      <c r="D47" s="25">
        <f t="shared" si="1"/>
        <v>1.1043050452949943</v>
      </c>
      <c r="E47" s="25">
        <f t="shared" si="17"/>
        <v>5.8949839381045336E-3</v>
      </c>
      <c r="F47" s="25">
        <f t="shared" si="2"/>
        <v>5.1773454986425793E-3</v>
      </c>
      <c r="G47" s="30">
        <f t="shared" si="18"/>
        <v>8.2882283249361056E-6</v>
      </c>
      <c r="H47" s="9">
        <f>'hours (1)'!$K47</f>
        <v>36.787500000000001</v>
      </c>
      <c r="I47" s="7">
        <f t="shared" si="3"/>
        <v>4.2</v>
      </c>
      <c r="J47" s="9">
        <f t="shared" si="4"/>
        <v>0.29238197560783263</v>
      </c>
      <c r="K47" s="18">
        <f t="shared" si="19"/>
        <v>7.3545996907878409E-3</v>
      </c>
      <c r="L47" s="19">
        <f t="shared" si="5"/>
        <v>6.7382230469750087E-3</v>
      </c>
      <c r="M47" s="19">
        <f t="shared" si="6"/>
        <v>6.9673267393659699E-2</v>
      </c>
      <c r="N47" s="19">
        <f t="shared" si="7"/>
        <v>4.0029626611312846E-2</v>
      </c>
      <c r="O47" s="19">
        <f t="shared" si="8"/>
        <v>-3.1464718862755925E-6</v>
      </c>
      <c r="P47" s="21">
        <f t="shared" si="9"/>
        <v>37.548649972021835</v>
      </c>
      <c r="Q47" s="9">
        <f t="shared" si="20"/>
        <v>1.0206904511592751</v>
      </c>
      <c r="R47" s="9">
        <f t="shared" si="10"/>
        <v>6.1276953230412685</v>
      </c>
      <c r="S47" s="6">
        <f t="shared" si="21"/>
        <v>2.5387593540873377E-2</v>
      </c>
      <c r="T47" s="6">
        <f t="shared" si="11"/>
        <v>2.2578488946037593E-2</v>
      </c>
      <c r="U47" s="6">
        <f t="shared" si="12"/>
        <v>0.57939366468974818</v>
      </c>
      <c r="V47" s="6">
        <f t="shared" si="13"/>
        <v>2.1639175103481248E-2</v>
      </c>
      <c r="W47" s="6">
        <f t="shared" si="14"/>
        <v>-7.8736907637349765E-2</v>
      </c>
      <c r="X47" s="6">
        <f t="shared" si="15"/>
        <v>-5.7097732533868684E-2</v>
      </c>
      <c r="Y47">
        <f t="shared" si="16"/>
        <v>0.74046932514927177</v>
      </c>
      <c r="AA47" s="43">
        <f t="shared" si="22"/>
        <v>37</v>
      </c>
      <c r="AB47" s="6">
        <f t="shared" si="23"/>
        <v>0.24490841356274376</v>
      </c>
      <c r="AC47" s="6">
        <f>VLOOKUP($C47,'hours (1)'!$A$19:$P$103,16)</f>
        <v>0.72214478000759019</v>
      </c>
      <c r="AD47" s="6">
        <f t="shared" si="24"/>
        <v>0.32892335502556846</v>
      </c>
    </row>
    <row r="48" spans="1:30" x14ac:dyDescent="0.25">
      <c r="A48" s="39">
        <f>'hours (1)'!$A48*'hours (1)'!$B48/'hours (1)'!$A$105</f>
        <v>5.6166457956019758E-3</v>
      </c>
      <c r="B48" s="9">
        <f>'hours (1)'!$E48</f>
        <v>35.194425019587612</v>
      </c>
      <c r="C48" s="26">
        <f>'hours (1)'!$A48</f>
        <v>37</v>
      </c>
      <c r="D48" s="25">
        <f t="shared" si="1"/>
        <v>1.0744589629897241</v>
      </c>
      <c r="E48" s="25">
        <f t="shared" si="17"/>
        <v>5.732099762440367E-3</v>
      </c>
      <c r="F48" s="25">
        <f t="shared" si="2"/>
        <v>5.0338569564773858E-3</v>
      </c>
      <c r="G48" s="30">
        <f t="shared" si="18"/>
        <v>8.3751107872353108E-6</v>
      </c>
      <c r="H48" s="9">
        <f>'hours (1)'!$K48</f>
        <v>37.787500000000001</v>
      </c>
      <c r="I48" s="7">
        <f t="shared" si="3"/>
        <v>4.2</v>
      </c>
      <c r="J48" s="9">
        <f t="shared" si="4"/>
        <v>0.28436268068133402</v>
      </c>
      <c r="K48" s="18">
        <f t="shared" si="19"/>
        <v>7.1528817023100884E-3</v>
      </c>
      <c r="L48" s="19">
        <f t="shared" si="5"/>
        <v>6.2956817509497581E-3</v>
      </c>
      <c r="M48" s="19">
        <f t="shared" si="6"/>
        <v>7.0124813176999326E-2</v>
      </c>
      <c r="N48" s="19">
        <f t="shared" si="7"/>
        <v>4.0449242527834481E-2</v>
      </c>
      <c r="O48" s="19">
        <f t="shared" si="8"/>
        <v>-2.5293268001297387E-6</v>
      </c>
      <c r="P48" s="21">
        <f t="shared" si="9"/>
        <v>37.638505080447366</v>
      </c>
      <c r="Q48" s="9">
        <f t="shared" si="20"/>
        <v>0.99605703156989389</v>
      </c>
      <c r="R48" s="9">
        <f t="shared" si="10"/>
        <v>6.1350228263998634</v>
      </c>
      <c r="S48" s="6">
        <f t="shared" si="21"/>
        <v>2.5357271293963896E-2</v>
      </c>
      <c r="T48" s="6">
        <f t="shared" si="11"/>
        <v>2.2622506218673882E-2</v>
      </c>
      <c r="U48" s="6">
        <f t="shared" si="12"/>
        <v>0.57658802496926431</v>
      </c>
      <c r="V48" s="6">
        <f t="shared" si="13"/>
        <v>2.1060447461352029E-2</v>
      </c>
      <c r="W48" s="6">
        <f t="shared" si="14"/>
        <v>-7.5768007068986287E-2</v>
      </c>
      <c r="X48" s="6">
        <f t="shared" si="15"/>
        <v>-5.4707559607634342E-2</v>
      </c>
      <c r="Y48">
        <f t="shared" si="16"/>
        <v>0.74608540663240941</v>
      </c>
      <c r="AA48" s="43">
        <f t="shared" si="22"/>
        <v>38</v>
      </c>
      <c r="AB48" s="6">
        <f t="shared" si="23"/>
        <v>0.25072310367611084</v>
      </c>
      <c r="AC48" s="6">
        <f>VLOOKUP($C48,'hours (1)'!$A$19:$P$103,16)</f>
        <v>0.74376864496543005</v>
      </c>
      <c r="AD48" s="6">
        <f t="shared" si="24"/>
        <v>0.33811838168993247</v>
      </c>
    </row>
    <row r="49" spans="1:30" x14ac:dyDescent="0.25">
      <c r="A49" s="39">
        <f>'hours (1)'!$A49*'hours (1)'!$B49/'hours (1)'!$A$105</f>
        <v>1.1700095927242521E-2</v>
      </c>
      <c r="B49" s="9">
        <f>'hours (1)'!$E49</f>
        <v>36.194425019587612</v>
      </c>
      <c r="C49" s="26">
        <f>'hours (1)'!$A49</f>
        <v>38</v>
      </c>
      <c r="D49" s="25">
        <f t="shared" si="1"/>
        <v>1.0461837271215735</v>
      </c>
      <c r="E49" s="25">
        <f t="shared" si="17"/>
        <v>5.5779769357621632E-3</v>
      </c>
      <c r="F49" s="25">
        <f t="shared" si="2"/>
        <v>4.8981089404824176E-3</v>
      </c>
      <c r="G49" s="30">
        <f t="shared" si="18"/>
        <v>8.4573063528456765E-6</v>
      </c>
      <c r="H49" s="9">
        <f>'hours (1)'!$K49</f>
        <v>38.787500000000001</v>
      </c>
      <c r="I49" s="7">
        <f t="shared" si="3"/>
        <v>4.2</v>
      </c>
      <c r="J49" s="9">
        <f t="shared" si="4"/>
        <v>0.2767717111461041</v>
      </c>
      <c r="K49" s="18">
        <f t="shared" si="19"/>
        <v>6.9619378451160193E-3</v>
      </c>
      <c r="L49" s="19">
        <f t="shared" si="5"/>
        <v>5.8763434228378125E-3</v>
      </c>
      <c r="M49" s="19">
        <f t="shared" si="6"/>
        <v>7.0551892610079603E-2</v>
      </c>
      <c r="N49" s="19">
        <f t="shared" si="7"/>
        <v>4.0846222156229788E-2</v>
      </c>
      <c r="O49" s="19">
        <f t="shared" si="8"/>
        <v>-2.0288756393954666E-6</v>
      </c>
      <c r="P49" s="21">
        <f t="shared" si="9"/>
        <v>37.722346741878901</v>
      </c>
      <c r="Q49" s="9">
        <f t="shared" si="20"/>
        <v>0.97253874938778984</v>
      </c>
      <c r="R49" s="9">
        <f t="shared" si="10"/>
        <v>6.1418520612172758</v>
      </c>
      <c r="S49" s="6">
        <f t="shared" si="21"/>
        <v>2.5329076091886529E-2</v>
      </c>
      <c r="T49" s="6">
        <f t="shared" si="11"/>
        <v>2.2664817367232415E-2</v>
      </c>
      <c r="U49" s="6">
        <f t="shared" si="12"/>
        <v>0.57397070423994279</v>
      </c>
      <c r="V49" s="6">
        <f t="shared" si="13"/>
        <v>2.0511870048112786E-2</v>
      </c>
      <c r="W49" s="6">
        <f t="shared" si="14"/>
        <v>-7.2994356716802072E-2</v>
      </c>
      <c r="X49" s="6">
        <f t="shared" si="15"/>
        <v>-5.2482486668689279E-2</v>
      </c>
      <c r="Y49">
        <f t="shared" si="16"/>
        <v>0.75143266258656327</v>
      </c>
      <c r="AA49" s="43">
        <f t="shared" si="22"/>
        <v>39</v>
      </c>
      <c r="AB49" s="6">
        <f t="shared" si="23"/>
        <v>0.26254975161658778</v>
      </c>
      <c r="AC49" s="6">
        <f>VLOOKUP($C49,'hours (1)'!$A$19:$P$103,16)</f>
        <v>0.72079676182207131</v>
      </c>
      <c r="AD49" s="6">
        <f t="shared" si="24"/>
        <v>0.35624275706480862</v>
      </c>
    </row>
    <row r="50" spans="1:30" x14ac:dyDescent="0.25">
      <c r="A50" s="39">
        <f>'hours (1)'!$A50*'hours (1)'!$B50/'hours (1)'!$A$105</f>
        <v>1.5382824247279752E-3</v>
      </c>
      <c r="B50" s="9">
        <f>'hours (1)'!$E50</f>
        <v>37.194425019587612</v>
      </c>
      <c r="C50" s="26">
        <f>'hours (1)'!$A50</f>
        <v>39</v>
      </c>
      <c r="D50" s="25">
        <f t="shared" si="1"/>
        <v>1.0193585033492256</v>
      </c>
      <c r="E50" s="25">
        <f t="shared" si="17"/>
        <v>5.4319269225939684E-3</v>
      </c>
      <c r="F50" s="25">
        <f t="shared" si="2"/>
        <v>4.7694914400137024E-3</v>
      </c>
      <c r="G50" s="30">
        <f t="shared" si="18"/>
        <v>8.5351843838498957E-6</v>
      </c>
      <c r="H50" s="9">
        <f>'hours (1)'!$K50</f>
        <v>39.787500000000001</v>
      </c>
      <c r="I50" s="7">
        <f t="shared" si="3"/>
        <v>4.2</v>
      </c>
      <c r="J50" s="9">
        <f t="shared" si="4"/>
        <v>0.26957563049940142</v>
      </c>
      <c r="K50" s="18">
        <f t="shared" si="19"/>
        <v>6.7809270547309428E-3</v>
      </c>
      <c r="L50" s="19">
        <f t="shared" si="5"/>
        <v>5.4784294191567023E-3</v>
      </c>
      <c r="M50" s="19">
        <f t="shared" si="6"/>
        <v>7.0956441838704171E-2</v>
      </c>
      <c r="N50" s="19">
        <f t="shared" si="7"/>
        <v>4.122234940322466E-2</v>
      </c>
      <c r="O50" s="19">
        <f t="shared" si="8"/>
        <v>-1.6229183409932624E-6</v>
      </c>
      <c r="P50" s="21">
        <f t="shared" si="9"/>
        <v>37.800759561650345</v>
      </c>
      <c r="Q50" s="9">
        <f t="shared" si="20"/>
        <v>0.95006621581276385</v>
      </c>
      <c r="R50" s="9">
        <f t="shared" si="10"/>
        <v>6.1482322306212822</v>
      </c>
      <c r="S50" s="6">
        <f t="shared" si="21"/>
        <v>2.5302791496534336E-2</v>
      </c>
      <c r="T50" s="6">
        <f t="shared" si="11"/>
        <v>2.2705494976709734E-2</v>
      </c>
      <c r="U50" s="6">
        <f t="shared" si="12"/>
        <v>0.5715236269299292</v>
      </c>
      <c r="V50" s="6">
        <f t="shared" si="13"/>
        <v>1.9991146478564717E-2</v>
      </c>
      <c r="W50" s="6">
        <f t="shared" si="14"/>
        <v>-7.0397107120043961E-2</v>
      </c>
      <c r="X50" s="6">
        <f t="shared" si="15"/>
        <v>-5.0405960641478988E-2</v>
      </c>
      <c r="Y50">
        <f t="shared" si="16"/>
        <v>0.75652906118686425</v>
      </c>
      <c r="AA50" s="43">
        <f t="shared" si="22"/>
        <v>40</v>
      </c>
      <c r="AB50" s="6">
        <f t="shared" si="23"/>
        <v>0.26406874291224608</v>
      </c>
      <c r="AC50" s="6">
        <f>VLOOKUP($C50,'hours (1)'!$A$19:$P$103,16)</f>
        <v>0.54418855453806381</v>
      </c>
      <c r="AD50" s="6">
        <f t="shared" si="24"/>
        <v>0.35800024859696883</v>
      </c>
    </row>
    <row r="51" spans="1:30" x14ac:dyDescent="0.25">
      <c r="A51" s="39">
        <f>'hours (1)'!$A51*'hours (1)'!$B51/'hours (1)'!$A$105</f>
        <v>0.52299315453736406</v>
      </c>
      <c r="B51" s="9">
        <f>'hours (1)'!$E51</f>
        <v>38.194425019587612</v>
      </c>
      <c r="C51" s="26">
        <f>'hours (1)'!$A51</f>
        <v>40</v>
      </c>
      <c r="D51" s="25">
        <f t="shared" si="1"/>
        <v>0.99387454076549486</v>
      </c>
      <c r="E51" s="25">
        <f t="shared" si="17"/>
        <v>5.2933315081355164E-3</v>
      </c>
      <c r="F51" s="25">
        <f t="shared" si="2"/>
        <v>4.6474569126197579E-3</v>
      </c>
      <c r="G51" s="30">
        <f t="shared" si="18"/>
        <v>8.6090764177748028E-6</v>
      </c>
      <c r="H51" s="9">
        <f>'hours (1)'!$K51</f>
        <v>40.787500000000001</v>
      </c>
      <c r="I51" s="7">
        <f t="shared" si="3"/>
        <v>4.2</v>
      </c>
      <c r="J51" s="9">
        <f t="shared" si="4"/>
        <v>0.26274439541230571</v>
      </c>
      <c r="K51" s="18">
        <f t="shared" si="19"/>
        <v>6.6090936188469172E-3</v>
      </c>
      <c r="L51" s="19">
        <f t="shared" si="5"/>
        <v>5.1003383992814927E-3</v>
      </c>
      <c r="M51" s="19">
        <f t="shared" si="6"/>
        <v>7.1340197960385945E-2</v>
      </c>
      <c r="N51" s="19">
        <f t="shared" si="7"/>
        <v>4.1579225494423236E-2</v>
      </c>
      <c r="O51" s="19">
        <f t="shared" si="8"/>
        <v>-1.2936878905495108E-6</v>
      </c>
      <c r="P51" s="21">
        <f t="shared" si="9"/>
        <v>37.874254761396756</v>
      </c>
      <c r="Q51" s="9">
        <f t="shared" si="20"/>
        <v>0.92857504778171629</v>
      </c>
      <c r="R51" s="9">
        <f t="shared" si="10"/>
        <v>6.1542062657500161</v>
      </c>
      <c r="S51" s="6">
        <f t="shared" si="21"/>
        <v>2.5278229472005424E-2</v>
      </c>
      <c r="T51" s="6">
        <f t="shared" si="11"/>
        <v>2.2744611690025125E-2</v>
      </c>
      <c r="U51" s="6">
        <f t="shared" si="12"/>
        <v>0.56923092852124468</v>
      </c>
      <c r="V51" s="6">
        <f t="shared" si="13"/>
        <v>1.9496207805502784E-2</v>
      </c>
      <c r="W51" s="6">
        <f t="shared" si="14"/>
        <v>-6.7959777724991122E-2</v>
      </c>
      <c r="X51" s="6">
        <f t="shared" si="15"/>
        <v>-4.8463569919488338E-2</v>
      </c>
      <c r="Y51">
        <f t="shared" si="16"/>
        <v>0.76139112262038244</v>
      </c>
      <c r="AA51" s="43">
        <f t="shared" si="22"/>
        <v>41</v>
      </c>
      <c r="AB51" s="6">
        <f t="shared" si="23"/>
        <v>0.7688210886207838</v>
      </c>
      <c r="AC51" s="6">
        <f>VLOOKUP($C51,'hours (1)'!$A$19:$P$103,16)</f>
        <v>0.45564382461173775</v>
      </c>
      <c r="AD51" s="6">
        <f t="shared" si="24"/>
        <v>0.84698170205142476</v>
      </c>
    </row>
    <row r="52" spans="1:30" x14ac:dyDescent="0.25">
      <c r="A52" s="39">
        <f>'hours (1)'!$A52*'hours (1)'!$B52/'hours (1)'!$A$105</f>
        <v>7.016047166535285E-4</v>
      </c>
      <c r="B52" s="9">
        <f>'hours (1)'!$E52</f>
        <v>39.194425019587612</v>
      </c>
      <c r="C52" s="26">
        <f>'hours (1)'!$A52</f>
        <v>41</v>
      </c>
      <c r="D52" s="25">
        <f t="shared" si="1"/>
        <v>0.96963369830779989</v>
      </c>
      <c r="E52" s="25">
        <f t="shared" si="17"/>
        <v>5.1616340426071262E-3</v>
      </c>
      <c r="F52" s="25">
        <f t="shared" si="2"/>
        <v>4.5315124860063859E-3</v>
      </c>
      <c r="G52" s="30">
        <f t="shared" si="18"/>
        <v>8.6792808893098342E-6</v>
      </c>
      <c r="H52" s="9">
        <f>'hours (1)'!$K52</f>
        <v>41.787500000000001</v>
      </c>
      <c r="I52" s="7">
        <f t="shared" si="3"/>
        <v>4.2</v>
      </c>
      <c r="J52" s="9">
        <f t="shared" si="4"/>
        <v>0.25625093580774533</v>
      </c>
      <c r="K52" s="18">
        <f t="shared" si="19"/>
        <v>6.4457566145717342E-3</v>
      </c>
      <c r="L52" s="19">
        <f t="shared" si="5"/>
        <v>4.740624764883003E-3</v>
      </c>
      <c r="M52" s="19">
        <f t="shared" si="6"/>
        <v>7.1704723963900319E-2</v>
      </c>
      <c r="N52" s="19">
        <f t="shared" si="7"/>
        <v>4.1918291778774604E-2</v>
      </c>
      <c r="O52" s="19">
        <f t="shared" si="8"/>
        <v>-1.0268999250800936E-6</v>
      </c>
      <c r="P52" s="21">
        <f t="shared" si="9"/>
        <v>37.943281332226341</v>
      </c>
      <c r="Q52" s="9">
        <f t="shared" si="20"/>
        <v>0.90800553591926625</v>
      </c>
      <c r="R52" s="9">
        <f t="shared" si="10"/>
        <v>6.1598117935718086</v>
      </c>
      <c r="S52" s="6">
        <f t="shared" si="21"/>
        <v>2.5255225876548361E-2</v>
      </c>
      <c r="T52" s="6">
        <f t="shared" si="11"/>
        <v>2.2782239091444646E-2</v>
      </c>
      <c r="U52" s="6">
        <f t="shared" si="12"/>
        <v>0.5670786318492812</v>
      </c>
      <c r="V52" s="6">
        <f t="shared" si="13"/>
        <v>1.9025185041909264E-2</v>
      </c>
      <c r="W52" s="6">
        <f t="shared" si="14"/>
        <v>-6.5667894156424753E-2</v>
      </c>
      <c r="X52" s="6">
        <f t="shared" si="15"/>
        <v>-4.6642709114515457E-2</v>
      </c>
      <c r="Y52">
        <f t="shared" si="16"/>
        <v>0.76603404193102176</v>
      </c>
      <c r="AA52" s="43">
        <f t="shared" si="22"/>
        <v>42</v>
      </c>
      <c r="AB52" s="6">
        <f t="shared" si="23"/>
        <v>0.76948322329063967</v>
      </c>
      <c r="AC52" s="6">
        <f>VLOOKUP($C52,'hours (1)'!$A$19:$P$103,16)</f>
        <v>0.33583847472936851</v>
      </c>
      <c r="AD52" s="6">
        <f t="shared" si="24"/>
        <v>0.84745448883742847</v>
      </c>
    </row>
    <row r="53" spans="1:30" x14ac:dyDescent="0.25">
      <c r="A53" s="39">
        <f>'hours (1)'!$A53*'hours (1)'!$B53/'hours (1)'!$A$105</f>
        <v>5.3536305067851701E-3</v>
      </c>
      <c r="B53" s="9">
        <f>'hours (1)'!$E53</f>
        <v>40.194425019587612</v>
      </c>
      <c r="C53" s="26">
        <f>'hours (1)'!$A53</f>
        <v>42</v>
      </c>
      <c r="D53" s="25">
        <f t="shared" si="1"/>
        <v>0.94654718168142371</v>
      </c>
      <c r="E53" s="25">
        <f t="shared" si="17"/>
        <v>5.0363319622605497E-3</v>
      </c>
      <c r="F53" s="25">
        <f t="shared" si="2"/>
        <v>4.4212132998645891E-3</v>
      </c>
      <c r="G53" s="30">
        <f t="shared" si="18"/>
        <v>8.7460671618371919E-6</v>
      </c>
      <c r="H53" s="9">
        <f>'hours (1)'!$K53</f>
        <v>42.787500000000001</v>
      </c>
      <c r="I53" s="7">
        <f t="shared" si="3"/>
        <v>4.2</v>
      </c>
      <c r="J53" s="9">
        <f t="shared" si="4"/>
        <v>0.2500707958129107</v>
      </c>
      <c r="K53" s="18">
        <f t="shared" si="19"/>
        <v>6.2903008769170949E-3</v>
      </c>
      <c r="L53" s="19">
        <f t="shared" si="5"/>
        <v>4.3979801715363503E-3</v>
      </c>
      <c r="M53" s="19">
        <f t="shared" si="6"/>
        <v>7.2051430010595163E-2</v>
      </c>
      <c r="N53" s="19">
        <f t="shared" si="7"/>
        <v>4.2240849199639594E-2</v>
      </c>
      <c r="O53" s="19">
        <f t="shared" si="8"/>
        <v>-8.1102184008863265E-7</v>
      </c>
      <c r="P53" s="21">
        <f t="shared" si="9"/>
        <v>38.008235216880188</v>
      </c>
      <c r="Q53" s="9">
        <f t="shared" si="20"/>
        <v>0.88830231298580631</v>
      </c>
      <c r="R53" s="9">
        <f t="shared" si="10"/>
        <v>6.165081931076033</v>
      </c>
      <c r="S53" s="6">
        <f t="shared" si="21"/>
        <v>2.523363678583429E-2</v>
      </c>
      <c r="T53" s="6">
        <f t="shared" si="11"/>
        <v>2.281844694575199E-2</v>
      </c>
      <c r="U53" s="6">
        <f t="shared" si="12"/>
        <v>0.56505437791054491</v>
      </c>
      <c r="V53" s="6">
        <f t="shared" si="13"/>
        <v>1.8576385572935457E-2</v>
      </c>
      <c r="W53" s="6">
        <f t="shared" si="14"/>
        <v>-6.3508690381120211E-2</v>
      </c>
      <c r="X53" s="6">
        <f t="shared" si="15"/>
        <v>-4.4932304808184796E-2</v>
      </c>
      <c r="Y53">
        <f t="shared" si="16"/>
        <v>0.77047180386478498</v>
      </c>
      <c r="AA53" s="43">
        <f t="shared" si="22"/>
        <v>43</v>
      </c>
      <c r="AB53" s="6">
        <f t="shared" si="23"/>
        <v>0.77442604014758709</v>
      </c>
      <c r="AC53" s="6">
        <f>VLOOKUP($C53,'hours (1)'!$A$19:$P$103,16)</f>
        <v>0.4412273518835641</v>
      </c>
      <c r="AD53" s="6">
        <f t="shared" si="24"/>
        <v>0.85209136501203631</v>
      </c>
    </row>
    <row r="54" spans="1:30" x14ac:dyDescent="0.25">
      <c r="A54" s="39">
        <f>'hours (1)'!$A54*'hours (1)'!$B54/'hours (1)'!$A$105</f>
        <v>3.1454107671163561E-3</v>
      </c>
      <c r="B54" s="9">
        <f>'hours (1)'!$E54</f>
        <v>41.194425019587612</v>
      </c>
      <c r="C54" s="26">
        <f>'hours (1)'!$A54</f>
        <v>43</v>
      </c>
      <c r="D54" s="25">
        <f t="shared" si="1"/>
        <v>0.92453445652604171</v>
      </c>
      <c r="E54" s="25">
        <f t="shared" si="17"/>
        <v>4.9169703749927605E-3</v>
      </c>
      <c r="F54" s="25">
        <f t="shared" si="2"/>
        <v>4.3161567977687996E-3</v>
      </c>
      <c r="G54" s="30">
        <f t="shared" si="18"/>
        <v>8.8096789836934322E-6</v>
      </c>
      <c r="H54" s="9">
        <f>'hours (1)'!$K54</f>
        <v>43.787500000000001</v>
      </c>
      <c r="I54" s="7">
        <f t="shared" si="3"/>
        <v>4.2</v>
      </c>
      <c r="J54" s="9">
        <f t="shared" si="4"/>
        <v>0.24418182553034479</v>
      </c>
      <c r="K54" s="18">
        <f t="shared" si="19"/>
        <v>6.1421692455838747E-3</v>
      </c>
      <c r="L54" s="19">
        <f t="shared" si="5"/>
        <v>4.0712176135274947E-3</v>
      </c>
      <c r="M54" s="19">
        <f t="shared" si="6"/>
        <v>7.2381591668589707E-2</v>
      </c>
      <c r="N54" s="19">
        <f t="shared" si="7"/>
        <v>4.2548074987484939E-2</v>
      </c>
      <c r="O54" s="19">
        <f t="shared" si="8"/>
        <v>-6.3670696429096729E-7</v>
      </c>
      <c r="P54" s="21">
        <f t="shared" si="9"/>
        <v>38.069466914825433</v>
      </c>
      <c r="Q54" s="9">
        <f t="shared" si="20"/>
        <v>0.86941403174023257</v>
      </c>
      <c r="R54" s="9">
        <f t="shared" si="10"/>
        <v>6.1700459410627921</v>
      </c>
      <c r="S54" s="6">
        <f t="shared" si="21"/>
        <v>2.5213335474271358E-2</v>
      </c>
      <c r="T54" s="6">
        <f t="shared" si="11"/>
        <v>2.2853302695909464E-2</v>
      </c>
      <c r="U54" s="6">
        <f t="shared" si="12"/>
        <v>0.56314720090961623</v>
      </c>
      <c r="V54" s="6">
        <f t="shared" si="13"/>
        <v>1.8148272830042746E-2</v>
      </c>
      <c r="W54" s="6">
        <f t="shared" si="14"/>
        <v>-6.1470862585027902E-2</v>
      </c>
      <c r="X54" s="6">
        <f t="shared" si="15"/>
        <v>-4.3322589754985236E-2</v>
      </c>
      <c r="Y54">
        <f t="shared" si="16"/>
        <v>0.77471728910933702</v>
      </c>
      <c r="AA54" s="43">
        <f t="shared" si="22"/>
        <v>44</v>
      </c>
      <c r="AB54" s="6">
        <f t="shared" si="23"/>
        <v>0.77726833642559923</v>
      </c>
      <c r="AC54" s="6">
        <f>VLOOKUP($C54,'hours (1)'!$A$19:$P$103,16)</f>
        <v>0.44351573965069491</v>
      </c>
      <c r="AD54" s="6">
        <f t="shared" si="24"/>
        <v>0.85477156336396776</v>
      </c>
    </row>
    <row r="55" spans="1:30" x14ac:dyDescent="0.25">
      <c r="A55" s="39">
        <f>'hours (1)'!$A55*'hours (1)'!$B55/'hours (1)'!$A$105</f>
        <v>3.4277420472443752E-3</v>
      </c>
      <c r="B55" s="9">
        <f>'hours (1)'!$E55</f>
        <v>42.194425019587612</v>
      </c>
      <c r="C55" s="26">
        <f>'hours (1)'!$A55</f>
        <v>44</v>
      </c>
      <c r="D55" s="25">
        <f t="shared" si="1"/>
        <v>0.90352230978681358</v>
      </c>
      <c r="E55" s="25">
        <f t="shared" si="17"/>
        <v>4.8031365378307595E-3</v>
      </c>
      <c r="F55" s="25">
        <f t="shared" si="2"/>
        <v>4.2159778146346151E-3</v>
      </c>
      <c r="G55" s="30">
        <f t="shared" si="18"/>
        <v>8.8703374627189423E-6</v>
      </c>
      <c r="H55" s="9">
        <f>'hours (1)'!$K55</f>
        <v>44.787500000000001</v>
      </c>
      <c r="I55" s="7">
        <f t="shared" si="3"/>
        <v>4.2</v>
      </c>
      <c r="J55" s="9">
        <f t="shared" si="4"/>
        <v>0.23856391542714384</v>
      </c>
      <c r="K55" s="18">
        <f t="shared" si="19"/>
        <v>6.0008558837667493E-3</v>
      </c>
      <c r="L55" s="19">
        <f t="shared" si="5"/>
        <v>3.7592576734197664E-3</v>
      </c>
      <c r="M55" s="19">
        <f t="shared" si="6"/>
        <v>7.2696365597029716E-2</v>
      </c>
      <c r="N55" s="19">
        <f t="shared" si="7"/>
        <v>4.2841037026054268E-2</v>
      </c>
      <c r="O55" s="19">
        <f t="shared" si="8"/>
        <v>-4.9635378572554512E-7</v>
      </c>
      <c r="P55" s="21">
        <f t="shared" si="9"/>
        <v>38.127287816950457</v>
      </c>
      <c r="Q55" s="9">
        <f t="shared" si="20"/>
        <v>0.8512930575930886</v>
      </c>
      <c r="R55" s="9">
        <f t="shared" si="10"/>
        <v>6.1747297768364291</v>
      </c>
      <c r="S55" s="6">
        <f t="shared" si="21"/>
        <v>2.5194209921099761E-2</v>
      </c>
      <c r="T55" s="6">
        <f t="shared" si="11"/>
        <v>2.2886871148394845E-2</v>
      </c>
      <c r="U55" s="6">
        <f t="shared" si="12"/>
        <v>0.56134733939626724</v>
      </c>
      <c r="V55" s="6">
        <f t="shared" si="13"/>
        <v>1.7739448712810968E-2</v>
      </c>
      <c r="W55" s="6">
        <f t="shared" si="14"/>
        <v>-5.9544364560896547E-2</v>
      </c>
      <c r="X55" s="6">
        <f t="shared" si="15"/>
        <v>-4.1804915848085412E-2</v>
      </c>
      <c r="Y55">
        <f t="shared" si="16"/>
        <v>0.77878237185296018</v>
      </c>
      <c r="AA55" s="43">
        <f t="shared" si="22"/>
        <v>45</v>
      </c>
      <c r="AB55" s="6">
        <f t="shared" si="23"/>
        <v>0.78030119776942708</v>
      </c>
      <c r="AC55" s="6">
        <f>VLOOKUP($C55,'hours (1)'!$A$19:$P$103,16)</f>
        <v>0.33487011502192815</v>
      </c>
      <c r="AD55" s="6">
        <f t="shared" si="24"/>
        <v>0.85693088581191679</v>
      </c>
    </row>
    <row r="56" spans="1:30" x14ac:dyDescent="0.25">
      <c r="A56" s="39">
        <f>'hours (1)'!$A56*'hours (1)'!$B56/'hours (1)'!$A$105</f>
        <v>5.105026209392189E-2</v>
      </c>
      <c r="B56" s="9">
        <f>'hours (1)'!$E56</f>
        <v>43.194425019587612</v>
      </c>
      <c r="C56" s="26">
        <f>'hours (1)'!$A56</f>
        <v>45</v>
      </c>
      <c r="D56" s="25">
        <f t="shared" si="1"/>
        <v>0.88344403623599543</v>
      </c>
      <c r="E56" s="25">
        <f t="shared" si="17"/>
        <v>4.6944550848645687E-3</v>
      </c>
      <c r="F56" s="25">
        <f t="shared" si="2"/>
        <v>4.1203443332950051E-3</v>
      </c>
      <c r="G56" s="30">
        <f t="shared" si="18"/>
        <v>8.9282436356554886E-6</v>
      </c>
      <c r="H56" s="9">
        <f>'hours (1)'!$K56</f>
        <v>45.787500000000001</v>
      </c>
      <c r="I56" s="7">
        <f t="shared" si="3"/>
        <v>4.2</v>
      </c>
      <c r="J56" s="9">
        <f t="shared" si="4"/>
        <v>0.23319876662042313</v>
      </c>
      <c r="K56" s="18">
        <f t="shared" si="19"/>
        <v>5.8659004998963564E-3</v>
      </c>
      <c r="L56" s="19">
        <f t="shared" si="5"/>
        <v>3.4611166004104993E-3</v>
      </c>
      <c r="M56" s="19">
        <f t="shared" si="6"/>
        <v>7.299680308696814E-2</v>
      </c>
      <c r="N56" s="19">
        <f t="shared" si="7"/>
        <v>4.3120706261778163E-2</v>
      </c>
      <c r="O56" s="19">
        <f t="shared" si="8"/>
        <v>-3.8376057399924779E-7</v>
      </c>
      <c r="P56" s="21">
        <f t="shared" si="9"/>
        <v>38.181975510360679</v>
      </c>
      <c r="Q56" s="9">
        <f t="shared" si="20"/>
        <v>0.83389517904145627</v>
      </c>
      <c r="R56" s="9">
        <f t="shared" si="10"/>
        <v>6.1791565371303454</v>
      </c>
      <c r="S56" s="6">
        <f t="shared" si="21"/>
        <v>2.5176160737939386E-2</v>
      </c>
      <c r="T56" s="6">
        <f t="shared" si="11"/>
        <v>2.2919214294422674E-2</v>
      </c>
      <c r="U56" s="6">
        <f t="shared" si="12"/>
        <v>0.55964607699198621</v>
      </c>
      <c r="V56" s="6">
        <f t="shared" si="13"/>
        <v>1.7348638334613073E-2</v>
      </c>
      <c r="W56" s="6">
        <f t="shared" si="14"/>
        <v>-5.7720236643301413E-2</v>
      </c>
      <c r="X56" s="6">
        <f t="shared" si="15"/>
        <v>-4.0371598308688389E-2</v>
      </c>
      <c r="Y56">
        <f t="shared" si="16"/>
        <v>0.78267800891184325</v>
      </c>
      <c r="AA56" s="43">
        <f t="shared" si="22"/>
        <v>46</v>
      </c>
      <c r="AB56" s="6">
        <f t="shared" si="23"/>
        <v>0.82454727482424495</v>
      </c>
      <c r="AC56" s="6">
        <f>VLOOKUP($C56,'hours (1)'!$A$19:$P$103,16)</f>
        <v>0.36391779712251804</v>
      </c>
      <c r="AD56" s="6">
        <f t="shared" si="24"/>
        <v>0.89116559309549814</v>
      </c>
    </row>
    <row r="57" spans="1:30" x14ac:dyDescent="0.25">
      <c r="A57" s="39">
        <f>'hours (1)'!$A57*'hours (1)'!$B57/'hours (1)'!$A$105</f>
        <v>1.7471562507340025E-3</v>
      </c>
      <c r="B57" s="9">
        <f>'hours (1)'!$E57</f>
        <v>44.194425019587612</v>
      </c>
      <c r="C57" s="26">
        <f>'hours (1)'!$A57</f>
        <v>46</v>
      </c>
      <c r="D57" s="25">
        <f t="shared" si="1"/>
        <v>0.86423873110043037</v>
      </c>
      <c r="E57" s="25">
        <f t="shared" si="17"/>
        <v>4.5905838892707392E-3</v>
      </c>
      <c r="F57" s="25">
        <f t="shared" si="2"/>
        <v>4.0289538062135578E-3</v>
      </c>
      <c r="G57" s="30">
        <f t="shared" si="18"/>
        <v>8.9835806953526823E-6</v>
      </c>
      <c r="H57" s="9">
        <f>'hours (1)'!$K57</f>
        <v>46.787500000000001</v>
      </c>
      <c r="I57" s="7">
        <f t="shared" si="3"/>
        <v>4.2</v>
      </c>
      <c r="J57" s="9">
        <f t="shared" si="4"/>
        <v>0.22806969152244527</v>
      </c>
      <c r="K57" s="18">
        <f t="shared" si="19"/>
        <v>5.7368833330508464E-3</v>
      </c>
      <c r="L57" s="19">
        <f t="shared" si="5"/>
        <v>3.1758959398139747E-3</v>
      </c>
      <c r="M57" s="19">
        <f t="shared" si="6"/>
        <v>7.3283861793002253E-2</v>
      </c>
      <c r="N57" s="19">
        <f t="shared" si="7"/>
        <v>4.3387967460505293E-2</v>
      </c>
      <c r="O57" s="19">
        <f t="shared" si="8"/>
        <v>-2.9385325529818207E-7</v>
      </c>
      <c r="P57" s="21">
        <f t="shared" si="9"/>
        <v>38.233778243208484</v>
      </c>
      <c r="Q57" s="9">
        <f t="shared" si="20"/>
        <v>0.81717933728471237</v>
      </c>
      <c r="R57" s="9">
        <f t="shared" si="10"/>
        <v>6.1833468480434188</v>
      </c>
      <c r="S57" s="6">
        <f t="shared" si="21"/>
        <v>2.5159099437048128E-2</v>
      </c>
      <c r="T57" s="6">
        <f t="shared" si="11"/>
        <v>2.295039122903271E-2</v>
      </c>
      <c r="U57" s="6">
        <f t="shared" si="12"/>
        <v>0.55803560749325642</v>
      </c>
      <c r="V57" s="6">
        <f t="shared" si="13"/>
        <v>1.6974676741452491E-2</v>
      </c>
      <c r="W57" s="6">
        <f t="shared" si="14"/>
        <v>-5.5990461929451098E-2</v>
      </c>
      <c r="X57" s="6">
        <f t="shared" si="15"/>
        <v>-3.9015785187998635E-2</v>
      </c>
      <c r="Y57">
        <f t="shared" si="16"/>
        <v>0.78641432086238539</v>
      </c>
      <c r="AA57" s="43">
        <f t="shared" si="22"/>
        <v>47</v>
      </c>
      <c r="AB57" s="6">
        <f t="shared" si="23"/>
        <v>0.82603120837903266</v>
      </c>
      <c r="AC57" s="6">
        <f>VLOOKUP($C57,'hours (1)'!$A$19:$P$103,16)</f>
        <v>0.43607191944070439</v>
      </c>
      <c r="AD57" s="6">
        <f t="shared" si="24"/>
        <v>0.89254141154606614</v>
      </c>
    </row>
    <row r="58" spans="1:30" x14ac:dyDescent="0.25">
      <c r="A58" s="39">
        <f>'hours (1)'!$A58*'hours (1)'!$B58/'hours (1)'!$A$105</f>
        <v>1.3322371754345547E-3</v>
      </c>
      <c r="B58" s="9">
        <f>'hours (1)'!$E58</f>
        <v>45.194425019587612</v>
      </c>
      <c r="C58" s="26">
        <f>'hours (1)'!$A58</f>
        <v>47</v>
      </c>
      <c r="D58" s="25">
        <f t="shared" si="1"/>
        <v>0.84585067299191052</v>
      </c>
      <c r="E58" s="25">
        <f t="shared" si="17"/>
        <v>4.4912104632436325E-3</v>
      </c>
      <c r="F58" s="25">
        <f t="shared" si="2"/>
        <v>3.9415299564217101E-3</v>
      </c>
      <c r="G58" s="30">
        <f t="shared" si="18"/>
        <v>9.0365159278038339E-6</v>
      </c>
      <c r="H58" s="9">
        <f>'hours (1)'!$K58</f>
        <v>47.787500000000001</v>
      </c>
      <c r="I58" s="7">
        <f t="shared" si="3"/>
        <v>4.2</v>
      </c>
      <c r="J58" s="9">
        <f t="shared" si="4"/>
        <v>0.22316144026397322</v>
      </c>
      <c r="K58" s="18">
        <f t="shared" si="19"/>
        <v>5.6134207867949669E-3</v>
      </c>
      <c r="L58" s="19">
        <f t="shared" si="5"/>
        <v>2.902773483174706E-3</v>
      </c>
      <c r="M58" s="19">
        <f t="shared" si="6"/>
        <v>7.3558415931563398E-2</v>
      </c>
      <c r="N58" s="19">
        <f t="shared" si="7"/>
        <v>4.3643628562797507E-2</v>
      </c>
      <c r="O58" s="19">
        <f t="shared" si="8"/>
        <v>-2.2246988772012255E-7</v>
      </c>
      <c r="P58" s="21">
        <f t="shared" si="9"/>
        <v>38.28291870055223</v>
      </c>
      <c r="Q58" s="9">
        <f t="shared" si="20"/>
        <v>0.80110737537122112</v>
      </c>
      <c r="R58" s="9">
        <f t="shared" si="10"/>
        <v>6.187319185281476</v>
      </c>
      <c r="S58" s="6">
        <f t="shared" si="21"/>
        <v>2.5142946976737447E-2</v>
      </c>
      <c r="T58" s="6">
        <f t="shared" si="11"/>
        <v>2.298045814006423E-2</v>
      </c>
      <c r="U58" s="6">
        <f t="shared" si="12"/>
        <v>0.55650892015074116</v>
      </c>
      <c r="V58" s="6">
        <f t="shared" si="13"/>
        <v>1.6616497312472667E-2</v>
      </c>
      <c r="W58" s="6">
        <f t="shared" si="14"/>
        <v>-5.4347844827063126E-2</v>
      </c>
      <c r="X58" s="6">
        <f t="shared" si="15"/>
        <v>-3.7731347514590521E-2</v>
      </c>
      <c r="Y58">
        <f t="shared" si="16"/>
        <v>0.7900006657141484</v>
      </c>
      <c r="AA58" s="43">
        <f t="shared" si="22"/>
        <v>48</v>
      </c>
      <c r="AB58" s="6">
        <f t="shared" si="23"/>
        <v>0.82714047925446832</v>
      </c>
      <c r="AC58" s="6">
        <f>VLOOKUP($C58,'hours (1)'!$A$19:$P$103,16)</f>
        <v>0.41751106861548043</v>
      </c>
      <c r="AD58" s="6">
        <f t="shared" si="24"/>
        <v>0.89352608936862266</v>
      </c>
    </row>
    <row r="59" spans="1:30" x14ac:dyDescent="0.25">
      <c r="A59" s="39">
        <f>'hours (1)'!$A59*'hours (1)'!$B59/'hours (1)'!$A$105</f>
        <v>9.8217405278856577E-3</v>
      </c>
      <c r="B59" s="9">
        <f>'hours (1)'!$E59</f>
        <v>46.194425019587612</v>
      </c>
      <c r="C59" s="26">
        <f>'hours (1)'!$A59</f>
        <v>48</v>
      </c>
      <c r="D59" s="25">
        <f t="shared" si="1"/>
        <v>0.82822878397124577</v>
      </c>
      <c r="E59" s="25">
        <f t="shared" si="17"/>
        <v>4.3960488159744526E-3</v>
      </c>
      <c r="F59" s="25">
        <f t="shared" si="2"/>
        <v>3.8578199863779868E-3</v>
      </c>
      <c r="G59" s="30">
        <f t="shared" si="18"/>
        <v>9.0872024021846151E-6</v>
      </c>
      <c r="H59" s="9">
        <f>'hours (1)'!$K59</f>
        <v>48.787500000000001</v>
      </c>
      <c r="I59" s="7">
        <f t="shared" si="3"/>
        <v>4.2</v>
      </c>
      <c r="J59" s="9">
        <f t="shared" si="4"/>
        <v>0.21846004908806418</v>
      </c>
      <c r="K59" s="18">
        <f t="shared" si="19"/>
        <v>5.4951616156653799E-3</v>
      </c>
      <c r="L59" s="19">
        <f t="shared" si="5"/>
        <v>2.6409953468523734E-3</v>
      </c>
      <c r="M59" s="19">
        <f t="shared" si="6"/>
        <v>7.3821265174696796E-2</v>
      </c>
      <c r="N59" s="19">
        <f t="shared" si="7"/>
        <v>4.3888428846303472E-2</v>
      </c>
      <c r="O59" s="19">
        <f t="shared" si="8"/>
        <v>-1.6618912790367091E-7</v>
      </c>
      <c r="P59" s="21">
        <f t="shared" si="9"/>
        <v>38.329597212041378</v>
      </c>
      <c r="Q59" s="9">
        <f t="shared" si="20"/>
        <v>0.78564380654965671</v>
      </c>
      <c r="R59" s="9">
        <f t="shared" si="10"/>
        <v>6.1910901473037345</v>
      </c>
      <c r="S59" s="6">
        <f t="shared" si="21"/>
        <v>2.5127632533574602E-2</v>
      </c>
      <c r="T59" s="6">
        <f t="shared" si="11"/>
        <v>2.3009468346384822E-2</v>
      </c>
      <c r="U59" s="6">
        <f t="shared" si="12"/>
        <v>0.55505970172234342</v>
      </c>
      <c r="V59" s="6">
        <f t="shared" si="13"/>
        <v>1.627312159884238E-2</v>
      </c>
      <c r="W59" s="6">
        <f t="shared" si="14"/>
        <v>-5.278590797602184E-2</v>
      </c>
      <c r="X59" s="6">
        <f t="shared" si="15"/>
        <v>-3.651278637717937E-2</v>
      </c>
      <c r="Y59">
        <f t="shared" si="16"/>
        <v>0.79344570570075457</v>
      </c>
      <c r="AA59" s="43">
        <f t="shared" si="22"/>
        <v>49</v>
      </c>
      <c r="AB59" s="6">
        <f t="shared" si="23"/>
        <v>0.83516057365212737</v>
      </c>
      <c r="AC59" s="6">
        <f>VLOOKUP($C59,'hours (1)'!$A$19:$P$103,16)</f>
        <v>0.30584328509077524</v>
      </c>
      <c r="AD59" s="6">
        <f t="shared" si="24"/>
        <v>0.89874124150832557</v>
      </c>
    </row>
    <row r="60" spans="1:30" x14ac:dyDescent="0.25">
      <c r="A60" s="39">
        <f>'hours (1)'!$A60*'hours (1)'!$B60/'hours (1)'!$A$105</f>
        <v>7.0432109545263272E-4</v>
      </c>
      <c r="B60" s="9">
        <f>'hours (1)'!$E60</f>
        <v>47.194425019587612</v>
      </c>
      <c r="C60" s="26">
        <f>'hours (1)'!$A60</f>
        <v>49</v>
      </c>
      <c r="D60" s="25">
        <f t="shared" si="1"/>
        <v>0.81132615572693456</v>
      </c>
      <c r="E60" s="25">
        <f t="shared" si="17"/>
        <v>4.3048367030886396E-3</v>
      </c>
      <c r="F60" s="25">
        <f t="shared" si="2"/>
        <v>3.7775921353206737E-3</v>
      </c>
      <c r="G60" s="30">
        <f t="shared" si="18"/>
        <v>9.135780449878543E-6</v>
      </c>
      <c r="H60" s="9">
        <f>'hours (1)'!$K60</f>
        <v>49.787500000000001</v>
      </c>
      <c r="I60" s="7">
        <f t="shared" si="3"/>
        <v>4.2</v>
      </c>
      <c r="J60" s="9">
        <f t="shared" si="4"/>
        <v>0.21395270753619061</v>
      </c>
      <c r="K60" s="18">
        <f t="shared" si="19"/>
        <v>5.3817835843596893E-3</v>
      </c>
      <c r="L60" s="19">
        <f t="shared" si="5"/>
        <v>2.389869018227006E-3</v>
      </c>
      <c r="M60" s="19">
        <f t="shared" si="6"/>
        <v>7.4073142429950251E-2</v>
      </c>
      <c r="N60" s="19">
        <f t="shared" si="7"/>
        <v>4.412304606900281E-2</v>
      </c>
      <c r="O60" s="19">
        <f t="shared" si="8"/>
        <v>-1.221930770595181E-7</v>
      </c>
      <c r="P60" s="21">
        <f t="shared" si="9"/>
        <v>38.373994488642943</v>
      </c>
      <c r="Q60" s="9">
        <f t="shared" si="20"/>
        <v>0.7707556010774379</v>
      </c>
      <c r="R60" s="9">
        <f t="shared" si="10"/>
        <v>6.1946746878785284</v>
      </c>
      <c r="S60" s="6">
        <f t="shared" si="21"/>
        <v>2.5113092461189309E-2</v>
      </c>
      <c r="T60" s="6">
        <f t="shared" si="11"/>
        <v>2.3037472370151971E-2</v>
      </c>
      <c r="U60" s="6">
        <f t="shared" si="12"/>
        <v>0.55368225253191672</v>
      </c>
      <c r="V60" s="6">
        <f t="shared" si="13"/>
        <v>1.5943650397135946E-2</v>
      </c>
      <c r="W60" s="6">
        <f t="shared" si="14"/>
        <v>-5.1298804372095497E-2</v>
      </c>
      <c r="X60" s="6">
        <f t="shared" si="15"/>
        <v>-3.5355153974959412E-2</v>
      </c>
      <c r="Y60">
        <f t="shared" si="16"/>
        <v>0.79675746777148415</v>
      </c>
      <c r="AA60" s="43">
        <f t="shared" si="22"/>
        <v>50</v>
      </c>
      <c r="AB60" s="6">
        <f t="shared" si="23"/>
        <v>0.83572479916231224</v>
      </c>
      <c r="AC60" s="6">
        <f>VLOOKUP($C60,'hours (1)'!$A$19:$P$103,16)</f>
        <v>0.44004271579192589</v>
      </c>
      <c r="AD60" s="6">
        <f t="shared" si="24"/>
        <v>0.89926912260083403</v>
      </c>
    </row>
    <row r="61" spans="1:30" x14ac:dyDescent="0.25">
      <c r="A61" s="39">
        <f>'hours (1)'!$A61*'hours (1)'!$B61/'hours (1)'!$A$105</f>
        <v>9.3259725650200853E-2</v>
      </c>
      <c r="B61" s="9">
        <f>'hours (1)'!$E61</f>
        <v>48.194425019587612</v>
      </c>
      <c r="C61" s="26">
        <f>'hours (1)'!$A61</f>
        <v>50</v>
      </c>
      <c r="D61" s="25">
        <f t="shared" si="1"/>
        <v>0.79509963261239591</v>
      </c>
      <c r="E61" s="25">
        <f t="shared" si="17"/>
        <v>4.2173332117916356E-3</v>
      </c>
      <c r="F61" s="25">
        <f t="shared" si="2"/>
        <v>3.7006335353790294E-3</v>
      </c>
      <c r="G61" s="30">
        <f t="shared" si="18"/>
        <v>9.1823789626039151E-6</v>
      </c>
      <c r="H61" s="9">
        <f>'hours (1)'!$K61</f>
        <v>50.787500000000001</v>
      </c>
      <c r="I61" s="7">
        <f t="shared" si="3"/>
        <v>4.2</v>
      </c>
      <c r="J61" s="9">
        <f t="shared" si="4"/>
        <v>0.20962764176344503</v>
      </c>
      <c r="K61" s="18">
        <f t="shared" si="19"/>
        <v>5.2729905326377299E-3</v>
      </c>
      <c r="L61" s="19">
        <f t="shared" si="5"/>
        <v>2.1487572343592415E-3</v>
      </c>
      <c r="M61" s="19">
        <f t="shared" si="6"/>
        <v>7.4314720665810172E-2</v>
      </c>
      <c r="N61" s="19">
        <f t="shared" si="7"/>
        <v>4.4348102738765043E-2</v>
      </c>
      <c r="O61" s="19">
        <f t="shared" si="8"/>
        <v>-8.8157138908306898E-8</v>
      </c>
      <c r="P61" s="21">
        <f t="shared" si="9"/>
        <v>38.416273967090568</v>
      </c>
      <c r="Q61" s="9">
        <f t="shared" si="20"/>
        <v>0.75641199049156915</v>
      </c>
      <c r="R61" s="9">
        <f t="shared" si="10"/>
        <v>6.1980863149112864</v>
      </c>
      <c r="S61" s="6">
        <f t="shared" si="21"/>
        <v>2.5099269403431844E-2</v>
      </c>
      <c r="T61" s="6">
        <f t="shared" si="11"/>
        <v>2.3064518031883304E-2</v>
      </c>
      <c r="U61" s="6">
        <f t="shared" si="12"/>
        <v>0.55237141427076264</v>
      </c>
      <c r="V61" s="6">
        <f t="shared" si="13"/>
        <v>1.5627255885699007E-2</v>
      </c>
      <c r="W61" s="6">
        <f t="shared" si="14"/>
        <v>-4.9881242132765118E-2</v>
      </c>
      <c r="X61" s="6">
        <f t="shared" si="15"/>
        <v>-3.4253986247066069E-2</v>
      </c>
      <c r="Y61">
        <f t="shared" si="16"/>
        <v>0.79994339834952188</v>
      </c>
      <c r="AA61" s="43">
        <f t="shared" si="22"/>
        <v>51</v>
      </c>
      <c r="AB61" s="6">
        <f t="shared" si="23"/>
        <v>0.90904402492321612</v>
      </c>
      <c r="AC61" s="6">
        <f>VLOOKUP($C61,'hours (1)'!$A$19:$P$103,16)</f>
        <v>0.3032477864986225</v>
      </c>
      <c r="AD61" s="6">
        <f t="shared" si="24"/>
        <v>0.94654113189267708</v>
      </c>
    </row>
    <row r="62" spans="1:30" x14ac:dyDescent="0.25">
      <c r="A62" s="39">
        <f>'hours (1)'!$A62*'hours (1)'!$B62/'hours (1)'!$A$105</f>
        <v>1.8249113161539524E-4</v>
      </c>
      <c r="B62" s="9">
        <f>'hours (1)'!$E62</f>
        <v>49.194425019587612</v>
      </c>
      <c r="C62" s="26">
        <f>'hours (1)'!$A62</f>
        <v>51</v>
      </c>
      <c r="D62" s="25">
        <f t="shared" si="1"/>
        <v>0.77950944373764308</v>
      </c>
      <c r="E62" s="25">
        <f t="shared" si="17"/>
        <v>4.1333166348679496E-3</v>
      </c>
      <c r="F62" s="25">
        <f t="shared" si="2"/>
        <v>3.6267483246595119E-3</v>
      </c>
      <c r="G62" s="30">
        <f t="shared" si="18"/>
        <v>9.2271165349420389E-6</v>
      </c>
      <c r="H62" s="9">
        <f>'hours (1)'!$K62</f>
        <v>51.787500000000001</v>
      </c>
      <c r="I62" s="7">
        <f t="shared" si="3"/>
        <v>4.2</v>
      </c>
      <c r="J62" s="9">
        <f t="shared" si="4"/>
        <v>0.20547401174249827</v>
      </c>
      <c r="K62" s="18">
        <f t="shared" si="19"/>
        <v>5.1685097895816795E-3</v>
      </c>
      <c r="L62" s="19">
        <f t="shared" si="5"/>
        <v>1.917072579097942E-3</v>
      </c>
      <c r="M62" s="19">
        <f t="shared" si="6"/>
        <v>7.4546618916559684E-2</v>
      </c>
      <c r="N62" s="19">
        <f t="shared" si="7"/>
        <v>4.4564171631414122E-2</v>
      </c>
      <c r="O62" s="19">
        <f t="shared" si="8"/>
        <v>-6.2161206640376498E-8</v>
      </c>
      <c r="P62" s="21">
        <f t="shared" si="9"/>
        <v>38.456583826080859</v>
      </c>
      <c r="Q62" s="9">
        <f t="shared" si="20"/>
        <v>0.74258428821782974</v>
      </c>
      <c r="R62" s="9">
        <f t="shared" si="10"/>
        <v>6.2013372611139976</v>
      </c>
      <c r="S62" s="6">
        <f t="shared" si="21"/>
        <v>2.5086111535842615E-2</v>
      </c>
      <c r="T62" s="6">
        <f t="shared" si="11"/>
        <v>2.3090650560075848E-2</v>
      </c>
      <c r="U62" s="6">
        <f t="shared" si="12"/>
        <v>0.55112250768394955</v>
      </c>
      <c r="V62" s="6">
        <f t="shared" si="13"/>
        <v>1.5323174679194371E-2</v>
      </c>
      <c r="W62" s="6">
        <f t="shared" si="14"/>
        <v>-4.8528419827202234E-2</v>
      </c>
      <c r="X62" s="6">
        <f t="shared" si="15"/>
        <v>-3.3205245148007725E-2</v>
      </c>
      <c r="Y62">
        <f t="shared" si="16"/>
        <v>0.80301041289296715</v>
      </c>
      <c r="AA62" s="43">
        <f t="shared" si="22"/>
        <v>52</v>
      </c>
      <c r="AB62" s="6">
        <f t="shared" si="23"/>
        <v>0.9091848736263074</v>
      </c>
      <c r="AC62" s="6">
        <f>VLOOKUP($C62,'hours (1)'!$A$19:$P$103,16)</f>
        <v>0.26537239064064738</v>
      </c>
      <c r="AD62" s="6">
        <f t="shared" si="24"/>
        <v>0.94662060078175214</v>
      </c>
    </row>
    <row r="63" spans="1:30" x14ac:dyDescent="0.25">
      <c r="A63" s="39">
        <f>'hours (1)'!$A63*'hours (1)'!$B63/'hours (1)'!$A$105</f>
        <v>1.2452954545526156E-2</v>
      </c>
      <c r="B63" s="9">
        <f>'hours (1)'!$E63</f>
        <v>50.194425019587612</v>
      </c>
      <c r="C63" s="26">
        <f>'hours (1)'!$A63</f>
        <v>52</v>
      </c>
      <c r="D63" s="25">
        <f t="shared" si="1"/>
        <v>0.76451887751191916</v>
      </c>
      <c r="E63" s="25">
        <f t="shared" si="17"/>
        <v>4.0525825940063076E-3</v>
      </c>
      <c r="F63" s="25">
        <f t="shared" si="2"/>
        <v>3.5557559820711096E-3</v>
      </c>
      <c r="G63" s="30">
        <f t="shared" si="18"/>
        <v>9.2701024726022617E-6</v>
      </c>
      <c r="H63" s="9">
        <f>'hours (1)'!$K63</f>
        <v>52.787500000000001</v>
      </c>
      <c r="I63" s="7">
        <f t="shared" si="3"/>
        <v>4.2</v>
      </c>
      <c r="J63" s="9">
        <f t="shared" si="4"/>
        <v>0.2014818204647422</v>
      </c>
      <c r="K63" s="18">
        <f t="shared" si="19"/>
        <v>5.0680898896343172E-3</v>
      </c>
      <c r="L63" s="19">
        <f t="shared" si="5"/>
        <v>1.69427270213382E-3</v>
      </c>
      <c r="M63" s="19">
        <f t="shared" si="6"/>
        <v>7.4769407579398206E-2</v>
      </c>
      <c r="N63" s="19">
        <f t="shared" si="7"/>
        <v>4.4771780660342403E-2</v>
      </c>
      <c r="O63" s="19">
        <f t="shared" si="8"/>
        <v>-4.2617769910324732E-8</v>
      </c>
      <c r="P63" s="21">
        <f t="shared" si="9"/>
        <v>38.495058726581888</v>
      </c>
      <c r="Q63" s="9">
        <f t="shared" si="20"/>
        <v>0.72924572534372512</v>
      </c>
      <c r="R63" s="9">
        <f t="shared" si="10"/>
        <v>6.2044386310593715</v>
      </c>
      <c r="S63" s="6">
        <f t="shared" si="21"/>
        <v>2.5073571914292631E-2</v>
      </c>
      <c r="T63" s="6">
        <f t="shared" si="11"/>
        <v>2.3115912709319456E-2</v>
      </c>
      <c r="U63" s="6">
        <f t="shared" si="12"/>
        <v>0.54993127860935465</v>
      </c>
      <c r="V63" s="6">
        <f t="shared" si="13"/>
        <v>1.5030701678634718E-2</v>
      </c>
      <c r="W63" s="6">
        <f t="shared" si="14"/>
        <v>-4.7235970674585792E-2</v>
      </c>
      <c r="X63" s="6">
        <f t="shared" si="15"/>
        <v>-3.2205268995951171E-2</v>
      </c>
      <c r="Y63">
        <f t="shared" si="16"/>
        <v>0.80596494075807656</v>
      </c>
      <c r="AA63" s="43">
        <f t="shared" si="22"/>
        <v>53</v>
      </c>
      <c r="AB63" s="6">
        <f t="shared" si="23"/>
        <v>0.91862356155169578</v>
      </c>
      <c r="AC63" s="6">
        <f>VLOOKUP($C63,'hours (1)'!$A$19:$P$103,16)</f>
        <v>0.46102045026124311</v>
      </c>
      <c r="AD63" s="6">
        <f t="shared" si="24"/>
        <v>0.95587227582686662</v>
      </c>
    </row>
    <row r="64" spans="1:30" x14ac:dyDescent="0.25">
      <c r="A64" s="39">
        <f>'hours (1)'!$A64*'hours (1)'!$B64/'hours (1)'!$A$105</f>
        <v>7.3997926365189078E-4</v>
      </c>
      <c r="B64" s="9">
        <f>'hours (1)'!$E64</f>
        <v>51.194425019587612</v>
      </c>
      <c r="C64" s="26">
        <f>'hours (1)'!$A64</f>
        <v>53</v>
      </c>
      <c r="D64" s="25">
        <f t="shared" si="1"/>
        <v>0.75009399303056212</v>
      </c>
      <c r="E64" s="25">
        <f t="shared" si="17"/>
        <v>3.9749423789880826E-3</v>
      </c>
      <c r="F64" s="25">
        <f t="shared" si="2"/>
        <v>3.4874898540705281E-3</v>
      </c>
      <c r="G64" s="30">
        <f t="shared" si="18"/>
        <v>9.3114376844792845E-6</v>
      </c>
      <c r="H64" s="9">
        <f>'hours (1)'!$K64</f>
        <v>53.787500000000001</v>
      </c>
      <c r="I64" s="7">
        <f t="shared" si="3"/>
        <v>4.2</v>
      </c>
      <c r="J64" s="9">
        <f t="shared" si="4"/>
        <v>0.19764183353593129</v>
      </c>
      <c r="K64" s="18">
        <f t="shared" si="19"/>
        <v>4.9714985501013295E-3</v>
      </c>
      <c r="L64" s="19">
        <f t="shared" si="5"/>
        <v>1.4798560780328457E-3</v>
      </c>
      <c r="M64" s="19">
        <f t="shared" si="6"/>
        <v>7.4983613099266627E-2</v>
      </c>
      <c r="N64" s="19">
        <f t="shared" si="7"/>
        <v>4.4971417184876676E-2</v>
      </c>
      <c r="O64" s="19">
        <f t="shared" si="8"/>
        <v>-2.8213505490204405E-8</v>
      </c>
      <c r="P64" s="21">
        <f t="shared" si="9"/>
        <v>38.531821319293179</v>
      </c>
      <c r="Q64" s="9">
        <f t="shared" si="20"/>
        <v>0.7163713003819322</v>
      </c>
      <c r="R64" s="9">
        <f t="shared" si="10"/>
        <v>6.2074005283446292</v>
      </c>
      <c r="S64" s="6">
        <f t="shared" si="21"/>
        <v>2.506160791354135E-2</v>
      </c>
      <c r="T64" s="6">
        <f t="shared" si="11"/>
        <v>2.3140344882492846E-2</v>
      </c>
      <c r="U64" s="6">
        <f t="shared" si="12"/>
        <v>0.54879385110083134</v>
      </c>
      <c r="V64" s="6">
        <f t="shared" si="13"/>
        <v>1.4749184612596283E-2</v>
      </c>
      <c r="W64" s="6">
        <f t="shared" si="14"/>
        <v>-4.5999914219681123E-2</v>
      </c>
      <c r="X64" s="6">
        <f t="shared" si="15"/>
        <v>-3.1250729607085026E-2</v>
      </c>
      <c r="Y64">
        <f t="shared" si="16"/>
        <v>0.80881296582455897</v>
      </c>
      <c r="AA64" s="43">
        <f t="shared" si="22"/>
        <v>54</v>
      </c>
      <c r="AB64" s="6">
        <f t="shared" si="23"/>
        <v>0.9191745253455389</v>
      </c>
      <c r="AC64" s="6">
        <f>VLOOKUP($C64,'hours (1)'!$A$19:$P$103,16)</f>
        <v>0.187520309125004</v>
      </c>
      <c r="AD64" s="6">
        <f t="shared" si="24"/>
        <v>0.95609194035069844</v>
      </c>
    </row>
    <row r="65" spans="1:30" x14ac:dyDescent="0.25">
      <c r="A65" s="39">
        <f>'hours (1)'!$A65*'hours (1)'!$B65/'hours (1)'!$A$105</f>
        <v>9.2957276418990117E-4</v>
      </c>
      <c r="B65" s="9">
        <f>'hours (1)'!$E65</f>
        <v>52.194425019587612</v>
      </c>
      <c r="C65" s="26">
        <f>'hours (1)'!$A65</f>
        <v>54</v>
      </c>
      <c r="D65" s="25">
        <f t="shared" si="1"/>
        <v>0.73620336352999616</v>
      </c>
      <c r="E65" s="25">
        <f t="shared" si="17"/>
        <v>3.9002214743128244E-3</v>
      </c>
      <c r="F65" s="25">
        <f t="shared" si="2"/>
        <v>3.4217958480048556E-3</v>
      </c>
      <c r="G65" s="30">
        <f t="shared" si="18"/>
        <v>9.3512154738355489E-6</v>
      </c>
      <c r="H65" s="9">
        <f>'hours (1)'!$K65</f>
        <v>54.787500000000001</v>
      </c>
      <c r="I65" s="7">
        <f t="shared" si="3"/>
        <v>4.2</v>
      </c>
      <c r="J65" s="9">
        <f t="shared" si="4"/>
        <v>0.19394550780377728</v>
      </c>
      <c r="K65" s="18">
        <f t="shared" si="19"/>
        <v>4.8785208758440977E-3</v>
      </c>
      <c r="L65" s="19">
        <f t="shared" si="5"/>
        <v>1.2733582354028244E-3</v>
      </c>
      <c r="M65" s="19">
        <f t="shared" si="6"/>
        <v>7.5189722122390779E-2</v>
      </c>
      <c r="N65" s="19">
        <f t="shared" si="7"/>
        <v>4.5163531831448868E-2</v>
      </c>
      <c r="O65" s="19">
        <f t="shared" si="8"/>
        <v>-1.786166044237536E-8</v>
      </c>
      <c r="P65" s="21">
        <f t="shared" si="9"/>
        <v>38.566983554795577</v>
      </c>
      <c r="Q65" s="9">
        <f t="shared" si="20"/>
        <v>0.70393764188538588</v>
      </c>
      <c r="R65" s="9">
        <f t="shared" si="10"/>
        <v>6.2102321659335393</v>
      </c>
      <c r="S65" s="6">
        <f t="shared" si="21"/>
        <v>2.5050180741559628E-2</v>
      </c>
      <c r="T65" s="6">
        <f t="shared" si="11"/>
        <v>2.316398525385675E-2</v>
      </c>
      <c r="U65" s="6">
        <f t="shared" si="12"/>
        <v>0.54770668658087818</v>
      </c>
      <c r="V65" s="6">
        <f t="shared" si="13"/>
        <v>1.4478019180653235E-2</v>
      </c>
      <c r="W65" s="6">
        <f t="shared" si="14"/>
        <v>-4.481661433902108E-2</v>
      </c>
      <c r="X65" s="6">
        <f t="shared" si="15"/>
        <v>-3.033859515836804E-2</v>
      </c>
      <c r="Y65">
        <f t="shared" si="16"/>
        <v>0.81156006330275809</v>
      </c>
      <c r="AA65" s="43">
        <f t="shared" si="22"/>
        <v>55</v>
      </c>
      <c r="AB65" s="6">
        <f t="shared" si="23"/>
        <v>0.91985464122015137</v>
      </c>
      <c r="AC65" s="6">
        <f>VLOOKUP($C65,'hours (1)'!$A$19:$P$103,16)</f>
        <v>0.25213222401674296</v>
      </c>
      <c r="AD65" s="6">
        <f t="shared" si="24"/>
        <v>0.95645652620905552</v>
      </c>
    </row>
    <row r="66" spans="1:30" x14ac:dyDescent="0.25">
      <c r="A66" s="39">
        <f>'hours (1)'!$A66*'hours (1)'!$B66/'hours (1)'!$A$105</f>
        <v>2.5405581773995402E-2</v>
      </c>
      <c r="B66" s="9">
        <f>'hours (1)'!$E66</f>
        <v>53.194425019587612</v>
      </c>
      <c r="C66" s="26">
        <f>'hours (1)'!$A66</f>
        <v>55</v>
      </c>
      <c r="D66" s="25">
        <f t="shared" si="1"/>
        <v>0.7228178478294508</v>
      </c>
      <c r="E66" s="25">
        <f t="shared" si="17"/>
        <v>3.8282582490342938E-3</v>
      </c>
      <c r="F66" s="25">
        <f t="shared" si="2"/>
        <v>3.3585312704773789E-3</v>
      </c>
      <c r="G66" s="30">
        <f t="shared" si="18"/>
        <v>9.3895222416719548E-6</v>
      </c>
      <c r="H66" s="9">
        <f>'hours (1)'!$K66</f>
        <v>55.787500000000001</v>
      </c>
      <c r="I66" s="7">
        <f t="shared" si="3"/>
        <v>4.2</v>
      </c>
      <c r="J66" s="9">
        <f t="shared" si="4"/>
        <v>0.19038492785536038</v>
      </c>
      <c r="K66" s="18">
        <f t="shared" si="19"/>
        <v>4.7889577619304813E-3</v>
      </c>
      <c r="L66" s="19">
        <f t="shared" si="5"/>
        <v>1.074348396485042E-3</v>
      </c>
      <c r="M66" s="19">
        <f t="shared" si="6"/>
        <v>7.5388185187532306E-2</v>
      </c>
      <c r="N66" s="19">
        <f t="shared" si="7"/>
        <v>4.5348541890663105E-2</v>
      </c>
      <c r="O66" s="19">
        <f t="shared" si="8"/>
        <v>-1.0663107688491102E-8</v>
      </c>
      <c r="P66" s="21">
        <f t="shared" si="9"/>
        <v>38.600647825867092</v>
      </c>
      <c r="Q66" s="9">
        <f t="shared" si="20"/>
        <v>0.69192288282979331</v>
      </c>
      <c r="R66" s="9">
        <f t="shared" si="10"/>
        <v>6.2129419622162168</v>
      </c>
      <c r="S66" s="6">
        <f t="shared" si="21"/>
        <v>2.5039255017954502E-2</v>
      </c>
      <c r="T66" s="6">
        <f t="shared" si="11"/>
        <v>2.3186869890775091E-2</v>
      </c>
      <c r="U66" s="6">
        <f t="shared" si="12"/>
        <v>0.54666654814269011</v>
      </c>
      <c r="V66" s="6">
        <f t="shared" si="13"/>
        <v>1.4216644722917454E-2</v>
      </c>
      <c r="W66" s="6">
        <f t="shared" si="14"/>
        <v>-4.3682742628103316E-2</v>
      </c>
      <c r="X66" s="6">
        <f t="shared" si="15"/>
        <v>-2.9466097905186048E-2</v>
      </c>
      <c r="Y66">
        <f t="shared" si="16"/>
        <v>0.81421143310367339</v>
      </c>
      <c r="AA66" s="43">
        <f t="shared" si="22"/>
        <v>56</v>
      </c>
      <c r="AB66" s="6">
        <f t="shared" si="23"/>
        <v>0.93812521431631846</v>
      </c>
      <c r="AC66" s="6">
        <f>VLOOKUP($C66,'hours (1)'!$A$19:$P$103,16)</f>
        <v>0.29727298917413836</v>
      </c>
      <c r="AD66" s="6">
        <f t="shared" si="24"/>
        <v>0.96800424429391052</v>
      </c>
    </row>
    <row r="67" spans="1:30" x14ac:dyDescent="0.25">
      <c r="A67" s="39">
        <f>'hours (1)'!$A67*'hours (1)'!$B67/'hours (1)'!$A$105</f>
        <v>2.5752398627161503E-3</v>
      </c>
      <c r="B67" s="9">
        <f>'hours (1)'!$E67</f>
        <v>54.194425019587612</v>
      </c>
      <c r="C67" s="26">
        <f>'hours (1)'!$A67</f>
        <v>56</v>
      </c>
      <c r="D67" s="25">
        <f t="shared" si="1"/>
        <v>0.70991038626106773</v>
      </c>
      <c r="E67" s="25">
        <f t="shared" si="17"/>
        <v>3.7589027890942797E-3</v>
      </c>
      <c r="F67" s="25">
        <f t="shared" si="2"/>
        <v>3.2975637922973092E-3</v>
      </c>
      <c r="G67" s="30">
        <f t="shared" si="18"/>
        <v>9.4264381134518715E-6</v>
      </c>
      <c r="H67" s="9">
        <f>'hours (1)'!$K67</f>
        <v>56.787500000000001</v>
      </c>
      <c r="I67" s="7">
        <f t="shared" si="3"/>
        <v>4.2</v>
      </c>
      <c r="J67" s="9">
        <f t="shared" si="4"/>
        <v>0.18695274939006626</v>
      </c>
      <c r="K67" s="18">
        <f t="shared" si="19"/>
        <v>4.7026244692331305E-3</v>
      </c>
      <c r="L67" s="19">
        <f t="shared" si="5"/>
        <v>8.824264759790118E-4</v>
      </c>
      <c r="M67" s="19">
        <f t="shared" si="6"/>
        <v>7.5579420013885554E-2</v>
      </c>
      <c r="N67" s="19">
        <f t="shared" si="7"/>
        <v>4.5526834344182421E-2</v>
      </c>
      <c r="O67" s="19">
        <f t="shared" si="8"/>
        <v>-5.8743942488170831E-9</v>
      </c>
      <c r="P67" s="21">
        <f t="shared" si="9"/>
        <v>38.632907966515951</v>
      </c>
      <c r="Q67" s="9">
        <f t="shared" si="20"/>
        <v>0.68030654574538318</v>
      </c>
      <c r="R67" s="9">
        <f t="shared" si="10"/>
        <v>6.2155376248974594</v>
      </c>
      <c r="S67" s="6">
        <f t="shared" si="21"/>
        <v>2.5028798406839175E-2</v>
      </c>
      <c r="T67" s="6">
        <f t="shared" si="11"/>
        <v>2.3209032872478243E-2</v>
      </c>
      <c r="U67" s="6">
        <f t="shared" si="12"/>
        <v>0.5456704692643739</v>
      </c>
      <c r="V67" s="6">
        <f t="shared" si="13"/>
        <v>1.3964540350372541E-2</v>
      </c>
      <c r="W67" s="6">
        <f t="shared" si="14"/>
        <v>-4.2595246379733956E-2</v>
      </c>
      <c r="X67" s="6">
        <f t="shared" si="15"/>
        <v>-2.863070602936145E-2</v>
      </c>
      <c r="Y67">
        <f t="shared" si="16"/>
        <v>0.81677193011599525</v>
      </c>
      <c r="AA67" s="43">
        <f t="shared" si="22"/>
        <v>57</v>
      </c>
      <c r="AB67" s="6">
        <f t="shared" si="23"/>
        <v>0.93994612090803353</v>
      </c>
      <c r="AC67" s="6">
        <f>VLOOKUP($C67,'hours (1)'!$A$19:$P$103,16)</f>
        <v>0.23099471418976511</v>
      </c>
      <c r="AD67" s="6">
        <f t="shared" si="24"/>
        <v>0.96889853406394144</v>
      </c>
    </row>
    <row r="68" spans="1:30" x14ac:dyDescent="0.25">
      <c r="A68" s="39">
        <f>'hours (1)'!$A68*'hours (1)'!$B68/'hours (1)'!$A$105</f>
        <v>3.1776867947257284E-4</v>
      </c>
      <c r="B68" s="9">
        <f>'hours (1)'!$E68</f>
        <v>55.194425019587612</v>
      </c>
      <c r="C68" s="26">
        <f>'hours (1)'!$A68</f>
        <v>57</v>
      </c>
      <c r="D68" s="25">
        <f t="shared" si="1"/>
        <v>0.69745581808104906</v>
      </c>
      <c r="E68" s="25">
        <f t="shared" si="17"/>
        <v>3.6920158543930219E-3</v>
      </c>
      <c r="F68" s="25">
        <f t="shared" si="2"/>
        <v>3.2387705242065247E-3</v>
      </c>
      <c r="G68" s="30">
        <f t="shared" si="18"/>
        <v>9.4620374987495772E-6</v>
      </c>
      <c r="H68" s="9">
        <f>'hours (1)'!$K68</f>
        <v>57.787500000000001</v>
      </c>
      <c r="I68" s="7">
        <f t="shared" si="3"/>
        <v>4.2</v>
      </c>
      <c r="J68" s="9">
        <f t="shared" si="4"/>
        <v>0.1836421486147975</v>
      </c>
      <c r="K68" s="18">
        <f t="shared" si="19"/>
        <v>4.6193493515125656E-3</v>
      </c>
      <c r="L68" s="19">
        <f t="shared" si="5"/>
        <v>6.9722039507395805E-4</v>
      </c>
      <c r="M68" s="19">
        <f t="shared" si="6"/>
        <v>7.5763814436121985E-2</v>
      </c>
      <c r="N68" s="19">
        <f t="shared" si="7"/>
        <v>4.5698768567660808E-2</v>
      </c>
      <c r="O68" s="19">
        <f t="shared" si="8"/>
        <v>-2.8814557267997642E-9</v>
      </c>
      <c r="P68" s="21">
        <f t="shared" si="9"/>
        <v>38.663850128264414</v>
      </c>
      <c r="Q68" s="9">
        <f t="shared" si="20"/>
        <v>0.66906943765112548</v>
      </c>
      <c r="R68" s="9">
        <f t="shared" si="10"/>
        <v>6.2180262244754498</v>
      </c>
      <c r="S68" s="6">
        <f t="shared" si="21"/>
        <v>2.5018781296118786E-2</v>
      </c>
      <c r="T68" s="6">
        <f t="shared" si="11"/>
        <v>2.3230506404792437E-2</v>
      </c>
      <c r="U68" s="6">
        <f t="shared" si="12"/>
        <v>0.54471572631559473</v>
      </c>
      <c r="V68" s="6">
        <f t="shared" si="13"/>
        <v>1.3721221479793802E-2</v>
      </c>
      <c r="W68" s="6">
        <f t="shared" si="14"/>
        <v>-4.155132049370247E-2</v>
      </c>
      <c r="X68" s="6">
        <f t="shared" si="15"/>
        <v>-2.783009901390868E-2</v>
      </c>
      <c r="Y68">
        <f t="shared" si="16"/>
        <v>0.81924609170009632</v>
      </c>
      <c r="AA68" s="43">
        <f t="shared" si="22"/>
        <v>58</v>
      </c>
      <c r="AB68" s="6">
        <f t="shared" si="23"/>
        <v>0.94016709818296318</v>
      </c>
      <c r="AC68" s="6">
        <f>VLOOKUP($C68,'hours (1)'!$A$19:$P$103,16)</f>
        <v>0.48320716927308266</v>
      </c>
      <c r="AD68" s="6">
        <f t="shared" si="24"/>
        <v>0.96912555689512381</v>
      </c>
    </row>
    <row r="69" spans="1:30" x14ac:dyDescent="0.25">
      <c r="A69" s="39">
        <f>'hours (1)'!$A69*'hours (1)'!$B69/'hours (1)'!$A$105</f>
        <v>9.4208780201180179E-4</v>
      </c>
      <c r="B69" s="9">
        <f>'hours (1)'!$E69</f>
        <v>56.194425019587612</v>
      </c>
      <c r="C69" s="26">
        <f>'hours (1)'!$A69</f>
        <v>58</v>
      </c>
      <c r="D69" s="25">
        <f t="shared" si="1"/>
        <v>0.68543071776930686</v>
      </c>
      <c r="E69" s="25">
        <f t="shared" si="17"/>
        <v>3.6274679453205038E-3</v>
      </c>
      <c r="F69" s="25">
        <f t="shared" si="2"/>
        <v>3.182037189792394E-3</v>
      </c>
      <c r="G69" s="30">
        <f t="shared" si="18"/>
        <v>9.4963895920523921E-6</v>
      </c>
      <c r="H69" s="9">
        <f>'hours (1)'!$K69</f>
        <v>58.787500000000001</v>
      </c>
      <c r="I69" s="7">
        <f t="shared" si="3"/>
        <v>4.2</v>
      </c>
      <c r="J69" s="9">
        <f t="shared" si="4"/>
        <v>0.18044677692713348</v>
      </c>
      <c r="K69" s="18">
        <f t="shared" si="19"/>
        <v>4.5389727155137477E-3</v>
      </c>
      <c r="L69" s="19">
        <f t="shared" si="5"/>
        <v>5.1838367272542818E-4</v>
      </c>
      <c r="M69" s="19">
        <f t="shared" si="6"/>
        <v>7.5941729029986541E-2</v>
      </c>
      <c r="N69" s="19">
        <f t="shared" si="7"/>
        <v>4.5864678749465461E-2</v>
      </c>
      <c r="O69" s="19">
        <f t="shared" si="8"/>
        <v>-1.1779306002823731E-9</v>
      </c>
      <c r="P69" s="21">
        <f t="shared" si="9"/>
        <v>38.693553550922296</v>
      </c>
      <c r="Q69" s="9">
        <f t="shared" si="20"/>
        <v>0.65819355391745349</v>
      </c>
      <c r="R69" s="9">
        <f t="shared" si="10"/>
        <v>6.2204142587871347</v>
      </c>
      <c r="S69" s="6">
        <f t="shared" si="21"/>
        <v>2.5009176516487385E-2</v>
      </c>
      <c r="T69" s="6">
        <f t="shared" si="11"/>
        <v>2.3251320930137882E-2</v>
      </c>
      <c r="U69" s="6">
        <f t="shared" si="12"/>
        <v>0.54379981433387736</v>
      </c>
      <c r="V69" s="6">
        <f t="shared" si="13"/>
        <v>1.3486236724747011E-2</v>
      </c>
      <c r="W69" s="6">
        <f t="shared" si="14"/>
        <v>-4.0548382764409877E-2</v>
      </c>
      <c r="X69" s="6">
        <f t="shared" si="15"/>
        <v>-2.7062146039662838E-2</v>
      </c>
      <c r="Y69">
        <f t="shared" si="16"/>
        <v>0.82163816267746093</v>
      </c>
      <c r="AA69" s="43">
        <f t="shared" si="22"/>
        <v>59</v>
      </c>
      <c r="AB69" s="6">
        <f t="shared" si="23"/>
        <v>0.94081157950805461</v>
      </c>
      <c r="AC69" s="6">
        <f>VLOOKUP($C69,'hours (1)'!$A$19:$P$103,16)</f>
        <v>0.2790711788398742</v>
      </c>
      <c r="AD69" s="6">
        <f t="shared" si="24"/>
        <v>0.96950795336728091</v>
      </c>
    </row>
    <row r="70" spans="1:30" x14ac:dyDescent="0.25">
      <c r="A70" s="39">
        <f>'hours (1)'!$A70*'hours (1)'!$B70/'hours (1)'!$A$105</f>
        <v>2.2411880129843259E-4</v>
      </c>
      <c r="B70" s="9">
        <f>'hours (1)'!$E70</f>
        <v>57.194425019587612</v>
      </c>
      <c r="C70" s="26">
        <f>'hours (1)'!$A70</f>
        <v>59</v>
      </c>
      <c r="D70" s="25">
        <f t="shared" si="1"/>
        <v>0.67381324797660669</v>
      </c>
      <c r="E70" s="25">
        <f t="shared" si="17"/>
        <v>3.5651384655746364E-3</v>
      </c>
      <c r="F70" s="25">
        <f t="shared" si="2"/>
        <v>3.1272573838690373E-3</v>
      </c>
      <c r="G70" s="30">
        <f t="shared" si="18"/>
        <v>9.5295588218116208E-6</v>
      </c>
      <c r="H70" s="9">
        <f>'hours (1)'!$K70</f>
        <v>59.787500000000001</v>
      </c>
      <c r="I70" s="7">
        <f t="shared" si="3"/>
        <v>4.2</v>
      </c>
      <c r="J70" s="9">
        <f t="shared" si="4"/>
        <v>0.1773607202527166</v>
      </c>
      <c r="K70" s="18">
        <f t="shared" si="19"/>
        <v>4.4613457981354243E-3</v>
      </c>
      <c r="L70" s="19">
        <f t="shared" si="5"/>
        <v>3.4559326135100155E-4</v>
      </c>
      <c r="M70" s="19">
        <f t="shared" si="6"/>
        <v>7.6113499465852774E-2</v>
      </c>
      <c r="N70" s="19">
        <f t="shared" si="7"/>
        <v>4.6024876059456564E-2</v>
      </c>
      <c r="O70" s="19">
        <f t="shared" si="8"/>
        <v>-3.4722456854208161E-10</v>
      </c>
      <c r="P70" s="21">
        <f t="shared" si="9"/>
        <v>38.722091242377999</v>
      </c>
      <c r="Q70" s="9">
        <f t="shared" si="20"/>
        <v>0.64766199025512017</v>
      </c>
      <c r="R70" s="9">
        <f t="shared" si="10"/>
        <v>6.2227077098621626</v>
      </c>
      <c r="S70" s="6">
        <f t="shared" si="21"/>
        <v>2.4999959094515856E-2</v>
      </c>
      <c r="T70" s="6">
        <f t="shared" si="11"/>
        <v>2.3271505232378763E-2</v>
      </c>
      <c r="U70" s="6">
        <f t="shared" si="12"/>
        <v>0.54292042562811038</v>
      </c>
      <c r="V70" s="6">
        <f t="shared" si="13"/>
        <v>1.3259165100695827E-2</v>
      </c>
      <c r="W70" s="6">
        <f t="shared" si="14"/>
        <v>-3.9584052080525539E-2</v>
      </c>
      <c r="X70" s="6">
        <f t="shared" si="15"/>
        <v>-2.6324886979829678E-2</v>
      </c>
      <c r="Y70">
        <f t="shared" si="16"/>
        <v>0.82395211806536062</v>
      </c>
      <c r="AA70" s="43">
        <f t="shared" si="22"/>
        <v>60</v>
      </c>
      <c r="AB70" s="6">
        <f t="shared" si="23"/>
        <v>0.94096244573642895</v>
      </c>
      <c r="AC70" s="6">
        <f>VLOOKUP($C70,'hours (1)'!$A$19:$P$103,16)</f>
        <v>0.48132803124006113</v>
      </c>
      <c r="AD70" s="6">
        <f t="shared" si="24"/>
        <v>0.96966234428202658</v>
      </c>
    </row>
    <row r="71" spans="1:30" x14ac:dyDescent="0.25">
      <c r="A71" s="39">
        <f>'hours (1)'!$A71*'hours (1)'!$B71/'hours (1)'!$A$105</f>
        <v>5.4872098282793484E-2</v>
      </c>
      <c r="B71" s="9">
        <f>'hours (1)'!$E71</f>
        <v>58.194425019587612</v>
      </c>
      <c r="C71" s="26">
        <f>'hours (1)'!$A71</f>
        <v>60</v>
      </c>
      <c r="D71" s="25">
        <f t="shared" si="1"/>
        <v>0.66258302717699658</v>
      </c>
      <c r="E71" s="25">
        <f t="shared" si="17"/>
        <v>3.5049149698736623E-3</v>
      </c>
      <c r="F71" s="25">
        <f t="shared" si="2"/>
        <v>3.0743319061964903E-3</v>
      </c>
      <c r="G71" s="30">
        <f t="shared" si="18"/>
        <v>9.5616052538762729E-6</v>
      </c>
      <c r="H71" s="9">
        <f>'hours (1)'!$K71</f>
        <v>60.787500000000001</v>
      </c>
      <c r="I71" s="7">
        <f t="shared" si="3"/>
        <v>4.2</v>
      </c>
      <c r="J71" s="9">
        <f t="shared" si="4"/>
        <v>0.17437846248848415</v>
      </c>
      <c r="K71" s="18">
        <f t="shared" si="19"/>
        <v>4.3863298468782494E-3</v>
      </c>
      <c r="L71" s="19">
        <f t="shared" si="5"/>
        <v>1.7854759848860702E-4</v>
      </c>
      <c r="M71" s="19">
        <f t="shared" si="6"/>
        <v>7.6279438622563756E-2</v>
      </c>
      <c r="N71" s="19">
        <f t="shared" si="7"/>
        <v>4.6179650597449606E-2</v>
      </c>
      <c r="O71" s="19">
        <f t="shared" si="8"/>
        <v>-4.7643805567432196E-11</v>
      </c>
      <c r="P71" s="21">
        <f t="shared" si="9"/>
        <v>38.749530579693527</v>
      </c>
      <c r="Q71" s="9">
        <f t="shared" si="20"/>
        <v>0.63745886209654168</v>
      </c>
      <c r="R71" s="9">
        <f t="shared" si="10"/>
        <v>6.2249120941338223</v>
      </c>
      <c r="S71" s="6">
        <f t="shared" si="21"/>
        <v>2.4991106035101244E-2</v>
      </c>
      <c r="T71" s="6">
        <f t="shared" si="11"/>
        <v>2.3291086536314135E-2</v>
      </c>
      <c r="U71" s="6">
        <f t="shared" si="12"/>
        <v>0.54207543083357401</v>
      </c>
      <c r="V71" s="6">
        <f t="shared" si="13"/>
        <v>1.3039613507803549E-2</v>
      </c>
      <c r="W71" s="6">
        <f t="shared" si="14"/>
        <v>-3.8656129142937458E-2</v>
      </c>
      <c r="X71" s="6">
        <f t="shared" si="15"/>
        <v>-2.5616515635134011E-2</v>
      </c>
      <c r="Y71">
        <f t="shared" si="16"/>
        <v>0.82619168378064922</v>
      </c>
      <c r="AA71" s="43">
        <f t="shared" si="22"/>
        <v>61</v>
      </c>
      <c r="AB71" s="6">
        <f t="shared" si="23"/>
        <v>0.9773178570957709</v>
      </c>
      <c r="AC71" s="6">
        <f>VLOOKUP($C71,'hours (1)'!$A$19:$P$103,16)</f>
        <v>0.2466006219830662</v>
      </c>
      <c r="AD71" s="6">
        <f t="shared" si="24"/>
        <v>0.98872361209480331</v>
      </c>
    </row>
    <row r="72" spans="1:30" x14ac:dyDescent="0.25">
      <c r="A72" s="39">
        <f>'hours (1)'!$A72*'hours (1)'!$B72/'hours (1)'!$A$105</f>
        <v>9.7698279171161041E-5</v>
      </c>
      <c r="B72" s="9">
        <f>'hours (1)'!$E72</f>
        <v>59.194425019587612</v>
      </c>
      <c r="C72" s="26">
        <f>'hours (1)'!$A72</f>
        <v>61</v>
      </c>
      <c r="D72" s="25">
        <f t="shared" si="1"/>
        <v>0.65172101033802943</v>
      </c>
      <c r="E72" s="25">
        <f t="shared" si="17"/>
        <v>3.4466924866857302E-3</v>
      </c>
      <c r="F72" s="25">
        <f t="shared" si="2"/>
        <v>3.0231681617573637E-3</v>
      </c>
      <c r="G72" s="30">
        <f t="shared" si="18"/>
        <v>9.5925849546261824E-6</v>
      </c>
      <c r="H72" s="9">
        <f>'hours (1)'!$K72</f>
        <v>61.787500000000001</v>
      </c>
      <c r="I72" s="7">
        <f t="shared" si="3"/>
        <v>4.2</v>
      </c>
      <c r="J72" s="9">
        <f t="shared" si="4"/>
        <v>0.17149485257600497</v>
      </c>
      <c r="K72" s="18">
        <f t="shared" si="19"/>
        <v>4.3137952916048501E-3</v>
      </c>
      <c r="L72" s="19">
        <f t="shared" si="5"/>
        <v>1.6964849683775984E-5</v>
      </c>
      <c r="M72" s="19">
        <f t="shared" si="6"/>
        <v>7.6439838489567258E-2</v>
      </c>
      <c r="N72" s="19">
        <f t="shared" si="7"/>
        <v>4.6329273147038171E-2</v>
      </c>
      <c r="O72" s="19">
        <f t="shared" si="8"/>
        <v>-4.0759062791551059E-14</v>
      </c>
      <c r="P72" s="21">
        <f t="shared" si="9"/>
        <v>38.775933841930282</v>
      </c>
      <c r="Q72" s="9">
        <f t="shared" si="20"/>
        <v>0.62756923070087445</v>
      </c>
      <c r="R72" s="9">
        <f t="shared" si="10"/>
        <v>6.2270325068952612</v>
      </c>
      <c r="S72" s="6">
        <f t="shared" si="21"/>
        <v>2.4982596129283243E-2</v>
      </c>
      <c r="T72" s="6">
        <f t="shared" si="11"/>
        <v>2.331009060174901E-2</v>
      </c>
      <c r="U72" s="6">
        <f t="shared" si="12"/>
        <v>0.54126286209852092</v>
      </c>
      <c r="V72" s="6">
        <f t="shared" si="13"/>
        <v>1.2827214459766386E-2</v>
      </c>
      <c r="W72" s="6">
        <f t="shared" si="14"/>
        <v>-3.7762579367082577E-2</v>
      </c>
      <c r="X72" s="6">
        <f t="shared" si="15"/>
        <v>-2.4935364907316054E-2</v>
      </c>
      <c r="Y72">
        <f t="shared" si="16"/>
        <v>0.8283603555131529</v>
      </c>
      <c r="AA72" s="43">
        <f t="shared" si="22"/>
        <v>62</v>
      </c>
      <c r="AB72" s="6">
        <f t="shared" si="23"/>
        <v>0.97738158268923458</v>
      </c>
      <c r="AC72" s="6">
        <f>VLOOKUP($C72,'hours (1)'!$A$19:$P$103,16)</f>
        <v>0.12348519058061724</v>
      </c>
      <c r="AD72" s="6">
        <f t="shared" si="24"/>
        <v>0.98874034291829993</v>
      </c>
    </row>
    <row r="73" spans="1:30" x14ac:dyDescent="0.25">
      <c r="A73" s="39">
        <f>'hours (1)'!$A73*'hours (1)'!$B73/'hours (1)'!$A$105</f>
        <v>2.178639158205274E-4</v>
      </c>
      <c r="B73" s="9">
        <f>'hours (1)'!$E73</f>
        <v>60.194425019587612</v>
      </c>
      <c r="C73" s="26">
        <f>'hours (1)'!$A73</f>
        <v>62</v>
      </c>
      <c r="D73" s="25">
        <f t="shared" si="1"/>
        <v>0.64120938113902892</v>
      </c>
      <c r="E73" s="25">
        <f t="shared" si="17"/>
        <v>3.3903729073896205E-3</v>
      </c>
      <c r="F73" s="25">
        <f t="shared" si="2"/>
        <v>2.9736796199600984E-3</v>
      </c>
      <c r="G73" s="30">
        <f t="shared" si="18"/>
        <v>9.622550318425011E-6</v>
      </c>
      <c r="H73" s="9">
        <f>'hours (1)'!$K73</f>
        <v>62.787500000000001</v>
      </c>
      <c r="I73" s="7">
        <f t="shared" si="3"/>
        <v>4.2</v>
      </c>
      <c r="J73" s="9">
        <f t="shared" si="4"/>
        <v>0.1687050747911481</v>
      </c>
      <c r="K73" s="18">
        <f t="shared" si="19"/>
        <v>4.243620997203764E-3</v>
      </c>
      <c r="L73" s="19">
        <f t="shared" si="5"/>
        <v>-1.3941867893930981E-4</v>
      </c>
      <c r="M73" s="19">
        <f t="shared" si="6"/>
        <v>7.65949718816782E-2</v>
      </c>
      <c r="N73" s="19">
        <f t="shared" si="7"/>
        <v>4.6473996757092489E-2</v>
      </c>
      <c r="O73" s="19">
        <f t="shared" si="8"/>
        <v>2.2469304195027462E-11</v>
      </c>
      <c r="P73" s="21">
        <f t="shared" si="9"/>
        <v>38.80135868358316</v>
      </c>
      <c r="Q73" s="9">
        <f t="shared" si="20"/>
        <v>0.61797903537460741</v>
      </c>
      <c r="R73" s="9">
        <f t="shared" si="10"/>
        <v>6.2290736617560691</v>
      </c>
      <c r="S73" s="6">
        <f t="shared" si="21"/>
        <v>2.4974409784042546E-2</v>
      </c>
      <c r="T73" s="6">
        <f t="shared" si="11"/>
        <v>2.3328541812192714E-2</v>
      </c>
      <c r="U73" s="6">
        <f t="shared" si="12"/>
        <v>0.54048089812895861</v>
      </c>
      <c r="V73" s="6">
        <f t="shared" si="13"/>
        <v>1.2621624031071539E-2</v>
      </c>
      <c r="W73" s="6">
        <f t="shared" si="14"/>
        <v>-3.6901517685512412E-2</v>
      </c>
      <c r="X73" s="6">
        <f t="shared" si="15"/>
        <v>-2.4279893654440984E-2</v>
      </c>
      <c r="Y73">
        <f t="shared" si="16"/>
        <v>0.83046141594816636</v>
      </c>
      <c r="AA73" s="43">
        <f t="shared" si="22"/>
        <v>63</v>
      </c>
      <c r="AB73" s="6">
        <f t="shared" si="23"/>
        <v>0.97752151705363055</v>
      </c>
      <c r="AC73" s="6">
        <f>VLOOKUP($C73,'hours (1)'!$A$19:$P$103,16)</f>
        <v>0.34892609262462937</v>
      </c>
      <c r="AD73" s="6">
        <f t="shared" si="24"/>
        <v>0.98884415463651498</v>
      </c>
    </row>
    <row r="74" spans="1:30" x14ac:dyDescent="0.25">
      <c r="A74" s="39">
        <f>'hours (1)'!$A74*'hours (1)'!$B74/'hours (1)'!$A$105</f>
        <v>2.1367286437780667E-4</v>
      </c>
      <c r="B74" s="9">
        <f>'hours (1)'!$E74</f>
        <v>61.194425019587612</v>
      </c>
      <c r="C74" s="26">
        <f>'hours (1)'!$A74</f>
        <v>63</v>
      </c>
      <c r="D74" s="25">
        <f t="shared" si="1"/>
        <v>0.63103145445428244</v>
      </c>
      <c r="E74" s="25">
        <f t="shared" si="17"/>
        <v>3.3358644343867271E-3</v>
      </c>
      <c r="F74" s="25">
        <f t="shared" si="2"/>
        <v>2.9257853261227527E-3</v>
      </c>
      <c r="G74" s="30">
        <f t="shared" si="18"/>
        <v>9.6515503634173116E-6</v>
      </c>
      <c r="H74" s="9">
        <f>'hours (1)'!$K74</f>
        <v>63.787500000000001</v>
      </c>
      <c r="I74" s="7">
        <f t="shared" si="3"/>
        <v>4.2</v>
      </c>
      <c r="J74" s="9">
        <f t="shared" si="4"/>
        <v>0.16600462188937548</v>
      </c>
      <c r="K74" s="18">
        <f t="shared" si="19"/>
        <v>4.1756935880839802E-3</v>
      </c>
      <c r="L74" s="19">
        <f t="shared" si="5"/>
        <v>-2.9084997724049266E-4</v>
      </c>
      <c r="M74" s="19">
        <f t="shared" si="6"/>
        <v>7.6745093987652752E-2</v>
      </c>
      <c r="N74" s="19">
        <f t="shared" si="7"/>
        <v>4.6614058170369496E-2</v>
      </c>
      <c r="O74" s="19">
        <f t="shared" si="8"/>
        <v>2.0308628390086625E-10</v>
      </c>
      <c r="P74" s="21">
        <f t="shared" si="9"/>
        <v>38.825858556205482</v>
      </c>
      <c r="Q74" s="9">
        <f t="shared" si="20"/>
        <v>0.60867503125542588</v>
      </c>
      <c r="R74" s="9">
        <f t="shared" si="10"/>
        <v>6.2310399257431728</v>
      </c>
      <c r="S74" s="6">
        <f t="shared" si="21"/>
        <v>2.4966528871202515E-2</v>
      </c>
      <c r="T74" s="6">
        <f t="shared" si="11"/>
        <v>2.3346463258307804E-2</v>
      </c>
      <c r="U74" s="6">
        <f t="shared" si="12"/>
        <v>0.53972785085745578</v>
      </c>
      <c r="V74" s="6">
        <f t="shared" si="13"/>
        <v>1.242251999855711E-2</v>
      </c>
      <c r="W74" s="6">
        <f t="shared" si="14"/>
        <v>-3.6071195008122267E-2</v>
      </c>
      <c r="X74" s="6">
        <f t="shared" si="15"/>
        <v>-2.3648675009565103E-2</v>
      </c>
      <c r="Y74">
        <f t="shared" si="16"/>
        <v>0.83249795049874531</v>
      </c>
      <c r="AA74" s="43">
        <f t="shared" si="22"/>
        <v>64</v>
      </c>
      <c r="AB74" s="6">
        <f t="shared" si="23"/>
        <v>0.9776566932403048</v>
      </c>
      <c r="AC74" s="6">
        <f>VLOOKUP($C74,'hours (1)'!$A$19:$P$103,16)</f>
        <v>0.70823459370491926</v>
      </c>
      <c r="AD74" s="6">
        <f t="shared" si="24"/>
        <v>0.98904770218656346</v>
      </c>
    </row>
    <row r="75" spans="1:30" x14ac:dyDescent="0.25">
      <c r="A75" s="39">
        <f>'hours (1)'!$A75*'hours (1)'!$B75/'hours (1)'!$A$105</f>
        <v>4.7501736735167989E-4</v>
      </c>
      <c r="B75" s="9">
        <f>'hours (1)'!$E75</f>
        <v>62.194425019587612</v>
      </c>
      <c r="C75" s="26">
        <f>'hours (1)'!$A75</f>
        <v>64</v>
      </c>
      <c r="D75" s="25">
        <f t="shared" si="1"/>
        <v>0.6211715879784343</v>
      </c>
      <c r="E75" s="25">
        <f t="shared" si="17"/>
        <v>3.2830810816311074E-3</v>
      </c>
      <c r="F75" s="25">
        <f t="shared" si="2"/>
        <v>2.8794094594337583E-3</v>
      </c>
      <c r="G75" s="30">
        <f t="shared" si="18"/>
        <v>9.6796309991837612E-6</v>
      </c>
      <c r="H75" s="9">
        <f>'hours (1)'!$K75</f>
        <v>64.787499999999994</v>
      </c>
      <c r="I75" s="7">
        <f t="shared" si="3"/>
        <v>4.2</v>
      </c>
      <c r="J75" s="9">
        <f t="shared" si="4"/>
        <v>0.1633892707914345</v>
      </c>
      <c r="K75" s="18">
        <f t="shared" si="19"/>
        <v>4.1099068365708915E-3</v>
      </c>
      <c r="L75" s="19">
        <f t="shared" si="5"/>
        <v>-4.3756063322891725E-4</v>
      </c>
      <c r="M75" s="19">
        <f t="shared" si="6"/>
        <v>7.6890443771067143E-2</v>
      </c>
      <c r="N75" s="19">
        <f t="shared" si="7"/>
        <v>4.6749679116206304E-2</v>
      </c>
      <c r="O75" s="19">
        <f t="shared" si="8"/>
        <v>6.8849310974616884E-10</v>
      </c>
      <c r="P75" s="21">
        <f t="shared" si="9"/>
        <v>38.849483084721356</v>
      </c>
      <c r="Q75" s="9">
        <f t="shared" si="20"/>
        <v>0.5996447321585392</v>
      </c>
      <c r="R75" s="9">
        <f t="shared" si="10"/>
        <v>6.2329353505969687</v>
      </c>
      <c r="S75" s="6">
        <f t="shared" si="21"/>
        <v>2.4958936592978265E-2</v>
      </c>
      <c r="T75" s="6">
        <f t="shared" si="11"/>
        <v>2.3363876816284899E-2</v>
      </c>
      <c r="U75" s="6">
        <f t="shared" si="12"/>
        <v>0.53900215353476044</v>
      </c>
      <c r="V75" s="6">
        <f t="shared" si="13"/>
        <v>1.2229600156152994E-2</v>
      </c>
      <c r="W75" s="6">
        <f t="shared" si="14"/>
        <v>-3.5269986132281064E-2</v>
      </c>
      <c r="X75" s="6">
        <f t="shared" si="15"/>
        <v>-2.3040385976127925E-2</v>
      </c>
      <c r="Y75">
        <f t="shared" si="16"/>
        <v>0.83447286169171675</v>
      </c>
      <c r="AA75" s="43">
        <f t="shared" si="22"/>
        <v>65</v>
      </c>
      <c r="AB75" s="6">
        <f t="shared" si="23"/>
        <v>0.97795274581562264</v>
      </c>
      <c r="AC75" s="6">
        <f>VLOOKUP($C75,'hours (1)'!$A$19:$P$103,16)</f>
        <v>0.37833153561735611</v>
      </c>
      <c r="AD75" s="6">
        <f t="shared" si="24"/>
        <v>0.98928584086495897</v>
      </c>
    </row>
    <row r="76" spans="1:30" x14ac:dyDescent="0.25">
      <c r="A76" s="39">
        <f>'hours (1)'!$A76*'hours (1)'!$B76/'hours (1)'!$A$105</f>
        <v>7.4957717788345229E-3</v>
      </c>
      <c r="B76" s="9">
        <f>'hours (1)'!$E76</f>
        <v>63.194425019587612</v>
      </c>
      <c r="C76" s="26">
        <f>'hours (1)'!$A76</f>
        <v>65</v>
      </c>
      <c r="D76" s="25">
        <f t="shared" si="1"/>
        <v>0.61161510200953528</v>
      </c>
      <c r="E76" s="25">
        <f t="shared" si="17"/>
        <v>3.231942221859371E-3</v>
      </c>
      <c r="F76" s="25">
        <f t="shared" si="2"/>
        <v>2.8344809323112116E-3</v>
      </c>
      <c r="G76" s="30">
        <f t="shared" si="18"/>
        <v>9.7068352693295237E-6</v>
      </c>
      <c r="H76" s="9">
        <f>'hours (1)'!$K76</f>
        <v>65.787499999999994</v>
      </c>
      <c r="I76" s="7">
        <f t="shared" si="3"/>
        <v>4.2</v>
      </c>
      <c r="J76" s="9">
        <f t="shared" si="4"/>
        <v>0.160855060533415</v>
      </c>
      <c r="K76" s="18">
        <f t="shared" si="19"/>
        <v>4.0461611082602631E-3</v>
      </c>
      <c r="L76" s="19">
        <f t="shared" si="5"/>
        <v>-5.7976801527445665E-4</v>
      </c>
      <c r="M76" s="19">
        <f t="shared" si="6"/>
        <v>7.7031245239678248E-2</v>
      </c>
      <c r="N76" s="19">
        <f t="shared" si="7"/>
        <v>4.6881067482148375E-2</v>
      </c>
      <c r="O76" s="19">
        <f t="shared" si="8"/>
        <v>1.5948540404986389E-9</v>
      </c>
      <c r="P76" s="21">
        <f t="shared" si="9"/>
        <v>38.872278404006742</v>
      </c>
      <c r="Q76" s="9">
        <f t="shared" si="20"/>
        <v>0.59087635803164351</v>
      </c>
      <c r="R76" s="9">
        <f t="shared" si="10"/>
        <v>6.2347637007353169</v>
      </c>
      <c r="S76" s="6">
        <f t="shared" si="21"/>
        <v>2.4951617362071819E-2</v>
      </c>
      <c r="T76" s="6">
        <f t="shared" si="11"/>
        <v>2.3380803221353271E-2</v>
      </c>
      <c r="U76" s="6">
        <f t="shared" si="12"/>
        <v>0.53830235007091476</v>
      </c>
      <c r="V76" s="6">
        <f t="shared" si="13"/>
        <v>1.2042580784260151E-2</v>
      </c>
      <c r="W76" s="6">
        <f t="shared" si="14"/>
        <v>-3.4496378924436376E-2</v>
      </c>
      <c r="X76" s="6">
        <f t="shared" si="15"/>
        <v>-2.2453798140176229E-2</v>
      </c>
      <c r="Y76">
        <f t="shared" si="16"/>
        <v>0.83638888233628572</v>
      </c>
      <c r="AA76" s="43">
        <f t="shared" si="22"/>
        <v>66</v>
      </c>
      <c r="AB76" s="6">
        <f t="shared" si="23"/>
        <v>0.98255614144316439</v>
      </c>
      <c r="AC76" s="6">
        <f>VLOOKUP($C76,'hours (1)'!$A$19:$P$103,16)</f>
        <v>0.25995363563680474</v>
      </c>
      <c r="AD76" s="6">
        <f t="shared" si="24"/>
        <v>0.99183010824098505</v>
      </c>
    </row>
    <row r="77" spans="1:30" x14ac:dyDescent="0.25">
      <c r="A77" s="39">
        <f>'hours (1)'!$A77*'hours (1)'!$B77/'hours (1)'!$A$105</f>
        <v>3.5948819798164858E-4</v>
      </c>
      <c r="B77" s="9">
        <f>'hours (1)'!$E77</f>
        <v>64.194425019587612</v>
      </c>
      <c r="C77" s="26">
        <f>'hours (1)'!$A77</f>
        <v>66</v>
      </c>
      <c r="D77" s="25">
        <f t="shared" si="1"/>
        <v>0.60234820652454235</v>
      </c>
      <c r="E77" s="25">
        <f t="shared" si="17"/>
        <v>3.1823721755036552E-3</v>
      </c>
      <c r="F77" s="25">
        <f t="shared" si="2"/>
        <v>2.7909330267062256E-3</v>
      </c>
      <c r="G77" s="30">
        <f t="shared" si="18"/>
        <v>9.7332035717029533E-6</v>
      </c>
      <c r="H77" s="9">
        <f>'hours (1)'!$K77</f>
        <v>66.787499999999994</v>
      </c>
      <c r="I77" s="7">
        <f t="shared" si="3"/>
        <v>4.2</v>
      </c>
      <c r="J77" s="9">
        <f t="shared" si="4"/>
        <v>0.15839827223885344</v>
      </c>
      <c r="K77" s="18">
        <f t="shared" si="19"/>
        <v>3.9843628582349301E-3</v>
      </c>
      <c r="L77" s="19">
        <f t="shared" si="5"/>
        <v>-7.1767634706366989E-4</v>
      </c>
      <c r="M77" s="19">
        <f t="shared" si="6"/>
        <v>7.7167708597450896E-2</v>
      </c>
      <c r="N77" s="19">
        <f t="shared" si="7"/>
        <v>4.700841837753901E-2</v>
      </c>
      <c r="O77" s="19">
        <f t="shared" si="8"/>
        <v>3.0128421563135888E-9</v>
      </c>
      <c r="P77" s="21">
        <f t="shared" si="9"/>
        <v>38.894287460549272</v>
      </c>
      <c r="Q77" s="9">
        <f t="shared" si="20"/>
        <v>0.58235878660751306</v>
      </c>
      <c r="R77" s="9">
        <f t="shared" si="10"/>
        <v>6.2365284782921719</v>
      </c>
      <c r="S77" s="6">
        <f t="shared" si="21"/>
        <v>2.4944556694509557E-2</v>
      </c>
      <c r="T77" s="6">
        <f t="shared" si="11"/>
        <v>2.3397262136657843E-2</v>
      </c>
      <c r="U77" s="6">
        <f t="shared" si="12"/>
        <v>0.53762708547614335</v>
      </c>
      <c r="V77" s="6">
        <f t="shared" si="13"/>
        <v>1.1861195257463994E-2</v>
      </c>
      <c r="W77" s="6">
        <f t="shared" si="14"/>
        <v>-3.3748964619450858E-2</v>
      </c>
      <c r="X77" s="6">
        <f t="shared" si="15"/>
        <v>-2.1887769361986869E-2</v>
      </c>
      <c r="Y77">
        <f t="shared" si="16"/>
        <v>0.83824858759080301</v>
      </c>
      <c r="AA77" s="43">
        <f t="shared" si="22"/>
        <v>67</v>
      </c>
      <c r="AB77" s="6">
        <f t="shared" si="23"/>
        <v>0.98277373227960396</v>
      </c>
      <c r="AC77" s="6">
        <f>VLOOKUP($C77,'hours (1)'!$A$19:$P$103,16)</f>
        <v>0.38790189353632404</v>
      </c>
      <c r="AD77" s="6">
        <f t="shared" si="24"/>
        <v>0.99200956137768559</v>
      </c>
    </row>
    <row r="78" spans="1:30" x14ac:dyDescent="0.25">
      <c r="A78" s="39">
        <f>'hours (1)'!$A78*'hours (1)'!$B78/'hours (1)'!$A$105</f>
        <v>9.2452711386241244E-5</v>
      </c>
      <c r="B78" s="9">
        <f>'hours (1)'!$E78</f>
        <v>65.194425019587612</v>
      </c>
      <c r="C78" s="26">
        <f>'hours (1)'!$A78</f>
        <v>67</v>
      </c>
      <c r="D78" s="25">
        <f t="shared" si="1"/>
        <v>0.59335793478537013</v>
      </c>
      <c r="E78" s="25">
        <f t="shared" si="17"/>
        <v>3.1342998368787886E-3</v>
      </c>
      <c r="F78" s="25">
        <f t="shared" si="2"/>
        <v>2.7487030634365446E-3</v>
      </c>
      <c r="G78" s="30">
        <f t="shared" si="18"/>
        <v>9.7587738586144389E-6</v>
      </c>
      <c r="H78" s="9">
        <f>'hours (1)'!$K78</f>
        <v>67.787499999999994</v>
      </c>
      <c r="I78" s="7">
        <f t="shared" si="3"/>
        <v>4.2</v>
      </c>
      <c r="J78" s="9">
        <f t="shared" si="4"/>
        <v>0.15601541089979942</v>
      </c>
      <c r="K78" s="18">
        <f t="shared" si="19"/>
        <v>3.9244241727842818E-3</v>
      </c>
      <c r="L78" s="19">
        <f t="shared" si="5"/>
        <v>-8.5147768648645428E-4</v>
      </c>
      <c r="M78" s="19">
        <f t="shared" si="6"/>
        <v>7.7300031291710272E-2</v>
      </c>
      <c r="N78" s="19">
        <f t="shared" si="7"/>
        <v>4.7131915100515544E-2</v>
      </c>
      <c r="O78" s="19">
        <f t="shared" si="8"/>
        <v>5.011857137637854E-9</v>
      </c>
      <c r="P78" s="21">
        <f t="shared" si="9"/>
        <v>38.915550283342483</v>
      </c>
      <c r="Q78" s="9">
        <f t="shared" si="20"/>
        <v>0.57408150888205767</v>
      </c>
      <c r="R78" s="9">
        <f t="shared" si="10"/>
        <v>6.2382329455818244</v>
      </c>
      <c r="S78" s="6">
        <f t="shared" si="21"/>
        <v>2.4937741113669348E-2</v>
      </c>
      <c r="T78" s="6">
        <f t="shared" si="11"/>
        <v>2.3413272217744266E-2</v>
      </c>
      <c r="U78" s="6">
        <f t="shared" si="12"/>
        <v>0.53697509727189452</v>
      </c>
      <c r="V78" s="6">
        <f t="shared" si="13"/>
        <v>1.1685192776212791E-2</v>
      </c>
      <c r="W78" s="6">
        <f t="shared" si="14"/>
        <v>-3.302642910487158E-2</v>
      </c>
      <c r="X78" s="6">
        <f t="shared" si="15"/>
        <v>-2.1341236328658603E-2</v>
      </c>
      <c r="Y78">
        <f t="shared" si="16"/>
        <v>0.8400544060312638</v>
      </c>
      <c r="AA78" s="43">
        <f t="shared" si="22"/>
        <v>68</v>
      </c>
      <c r="AB78" s="6">
        <f t="shared" si="23"/>
        <v>0.98282889663439676</v>
      </c>
      <c r="AC78" s="6">
        <f>VLOOKUP($C78,'hours (1)'!$A$19:$P$103,16)</f>
        <v>0.49123737802944023</v>
      </c>
      <c r="AD78" s="6">
        <f t="shared" si="24"/>
        <v>0.99206717676692702</v>
      </c>
    </row>
    <row r="79" spans="1:30" x14ac:dyDescent="0.25">
      <c r="A79" s="39">
        <f>'hours (1)'!$A79*'hours (1)'!$B79/'hours (1)'!$A$105</f>
        <v>4.8207614243105362E-4</v>
      </c>
      <c r="B79" s="9">
        <f>'hours (1)'!$E79</f>
        <v>66.194425019587612</v>
      </c>
      <c r="C79" s="26">
        <f>'hours (1)'!$A79</f>
        <v>68</v>
      </c>
      <c r="D79" s="25">
        <f t="shared" si="1"/>
        <v>0.58463208280323231</v>
      </c>
      <c r="E79" s="25">
        <f t="shared" si="17"/>
        <v>3.0876583337580538E-3</v>
      </c>
      <c r="F79" s="25">
        <f t="shared" si="2"/>
        <v>2.7077321011017255E-3</v>
      </c>
      <c r="G79" s="30">
        <f t="shared" si="18"/>
        <v>9.7835818191435747E-6</v>
      </c>
      <c r="H79" s="9">
        <f>'hours (1)'!$K79</f>
        <v>68.787499999999994</v>
      </c>
      <c r="I79" s="7">
        <f t="shared" si="3"/>
        <v>4.2</v>
      </c>
      <c r="J79" s="9">
        <f t="shared" si="4"/>
        <v>0.15370318877902087</v>
      </c>
      <c r="K79" s="18">
        <f t="shared" si="19"/>
        <v>3.8662623519019994E-3</v>
      </c>
      <c r="L79" s="19">
        <f t="shared" si="5"/>
        <v>-9.8135281831938925E-4</v>
      </c>
      <c r="M79" s="19">
        <f t="shared" si="6"/>
        <v>7.7428398966395806E-2</v>
      </c>
      <c r="N79" s="19">
        <f t="shared" si="7"/>
        <v>4.7251730018497681E-2</v>
      </c>
      <c r="O79" s="19">
        <f t="shared" si="8"/>
        <v>7.6435707901945094E-9</v>
      </c>
      <c r="P79" s="21">
        <f t="shared" si="9"/>
        <v>38.936104227613868</v>
      </c>
      <c r="Q79" s="9">
        <f t="shared" si="20"/>
        <v>0.56603458808088492</v>
      </c>
      <c r="R79" s="9">
        <f t="shared" si="10"/>
        <v>6.2398801452923651</v>
      </c>
      <c r="S79" s="6">
        <f t="shared" si="21"/>
        <v>2.4931158064157573E-2</v>
      </c>
      <c r="T79" s="6">
        <f t="shared" si="11"/>
        <v>2.342885117289795E-2</v>
      </c>
      <c r="U79" s="6">
        <f t="shared" si="12"/>
        <v>0.53634520775950401</v>
      </c>
      <c r="V79" s="6">
        <f t="shared" si="13"/>
        <v>1.1514337209770393E-2</v>
      </c>
      <c r="W79" s="6">
        <f t="shared" si="14"/>
        <v>-3.232754507511483E-2</v>
      </c>
      <c r="X79" s="6">
        <f t="shared" si="15"/>
        <v>-2.0813207865344376E-2</v>
      </c>
      <c r="Y79">
        <f t="shared" si="16"/>
        <v>0.84180862981452942</v>
      </c>
      <c r="AA79" s="43">
        <f t="shared" si="22"/>
        <v>69</v>
      </c>
      <c r="AB79" s="6">
        <f t="shared" si="23"/>
        <v>0.98311250820258089</v>
      </c>
      <c r="AC79" s="6">
        <f>VLOOKUP($C79,'hours (1)'!$A$19:$P$103,16)</f>
        <v>0.3532285309144646</v>
      </c>
      <c r="AD79" s="6">
        <f t="shared" si="24"/>
        <v>0.99228017120797896</v>
      </c>
    </row>
    <row r="80" spans="1:30" x14ac:dyDescent="0.25">
      <c r="A80" s="39">
        <f>'hours (1)'!$A80*'hours (1)'!$B80/'hours (1)'!$A$105</f>
        <v>1.0059081358829145E-4</v>
      </c>
      <c r="B80" s="9">
        <f>'hours (1)'!$E80</f>
        <v>67.194425019587612</v>
      </c>
      <c r="C80" s="26">
        <f>'hours (1)'!$A80</f>
        <v>69</v>
      </c>
      <c r="D80" s="25">
        <f t="shared" si="1"/>
        <v>0.5761591540669535</v>
      </c>
      <c r="E80" s="25">
        <f t="shared" si="17"/>
        <v>3.0423847169100703E-3</v>
      </c>
      <c r="F80" s="25">
        <f t="shared" si="2"/>
        <v>2.6679646615386161E-3</v>
      </c>
      <c r="G80" s="30">
        <f t="shared" si="18"/>
        <v>9.8076610453761472E-6</v>
      </c>
      <c r="H80" s="9">
        <f>'hours (1)'!$K80</f>
        <v>69.787499999999994</v>
      </c>
      <c r="I80" s="7">
        <f t="shared" si="3"/>
        <v>4.2</v>
      </c>
      <c r="J80" s="9">
        <f t="shared" si="4"/>
        <v>0.15145851026748791</v>
      </c>
      <c r="K80" s="18">
        <f t="shared" si="19"/>
        <v>3.8097995283899876E-3</v>
      </c>
      <c r="L80" s="19">
        <f t="shared" si="5"/>
        <v>-1.1074720694417561E-3</v>
      </c>
      <c r="M80" s="19">
        <f t="shared" si="6"/>
        <v>7.7552986331090507E-2</v>
      </c>
      <c r="N80" s="19">
        <f t="shared" si="7"/>
        <v>4.7368025371061662E-2</v>
      </c>
      <c r="O80" s="19">
        <f t="shared" si="8"/>
        <v>1.094490677255866E-8</v>
      </c>
      <c r="P80" s="21">
        <f t="shared" si="9"/>
        <v>38.955984194514187</v>
      </c>
      <c r="Q80" s="9">
        <f t="shared" si="20"/>
        <v>0.55820862180926656</v>
      </c>
      <c r="R80" s="9">
        <f t="shared" si="10"/>
        <v>6.2414729186718567</v>
      </c>
      <c r="S80" s="6">
        <f t="shared" si="21"/>
        <v>2.4924795834375933E-2</v>
      </c>
      <c r="T80" s="6">
        <f t="shared" si="11"/>
        <v>2.3444015819580711E-2</v>
      </c>
      <c r="U80" s="6">
        <f t="shared" si="12"/>
        <v>0.5357363170485685</v>
      </c>
      <c r="V80" s="6">
        <f t="shared" si="13"/>
        <v>1.1348406039219472E-2</v>
      </c>
      <c r="W80" s="6">
        <f t="shared" si="14"/>
        <v>-3.1651164955647564E-2</v>
      </c>
      <c r="X80" s="6">
        <f t="shared" si="15"/>
        <v>-2.0302758916428253E-2</v>
      </c>
      <c r="Y80">
        <f t="shared" si="16"/>
        <v>0.84351342401975993</v>
      </c>
      <c r="AA80" s="43">
        <f t="shared" si="22"/>
        <v>70</v>
      </c>
      <c r="AB80" s="6">
        <f t="shared" si="23"/>
        <v>0.98317086886235705</v>
      </c>
      <c r="AC80" s="6">
        <f>VLOOKUP($C80,'hours (1)'!$A$19:$P$103,16)</f>
        <v>0</v>
      </c>
      <c r="AD80" s="6">
        <f t="shared" si="24"/>
        <v>0.99228017120797896</v>
      </c>
    </row>
    <row r="81" spans="1:30" x14ac:dyDescent="0.25">
      <c r="A81" s="39">
        <f>'hours (1)'!$A81*'hours (1)'!$B81/'hours (1)'!$A$105</f>
        <v>1.2199517824626339E-2</v>
      </c>
      <c r="B81" s="9">
        <f>'hours (1)'!$E81</f>
        <v>68.194425019587612</v>
      </c>
      <c r="C81" s="26">
        <f>'hours (1)'!$A81</f>
        <v>70</v>
      </c>
      <c r="D81" s="25">
        <f t="shared" si="1"/>
        <v>0.56792830900885427</v>
      </c>
      <c r="E81" s="25">
        <f t="shared" si="17"/>
        <v>2.9984196765637486E-3</v>
      </c>
      <c r="F81" s="25">
        <f t="shared" si="2"/>
        <v>2.629348479126172E-3</v>
      </c>
      <c r="G81" s="30">
        <f t="shared" si="18"/>
        <v>9.8310431842003457E-6</v>
      </c>
      <c r="H81" s="9">
        <f>'hours (1)'!$K81</f>
        <v>70.787499999999994</v>
      </c>
      <c r="I81" s="7">
        <f t="shared" si="3"/>
        <v>4.2</v>
      </c>
      <c r="J81" s="9">
        <f t="shared" si="4"/>
        <v>0.14927845805041645</v>
      </c>
      <c r="K81" s="18">
        <f t="shared" si="19"/>
        <v>3.7549623198779264E-3</v>
      </c>
      <c r="L81" s="19">
        <f t="shared" si="5"/>
        <v>-1.2299960543076249E-3</v>
      </c>
      <c r="M81" s="19">
        <f t="shared" si="6"/>
        <v>7.7673957954386766E-2</v>
      </c>
      <c r="N81" s="19">
        <f t="shared" si="7"/>
        <v>4.7480954003069849E-2</v>
      </c>
      <c r="O81" s="19">
        <f t="shared" si="8"/>
        <v>1.4940548256903163E-8</v>
      </c>
      <c r="P81" s="21">
        <f t="shared" si="9"/>
        <v>38.975222829488715</v>
      </c>
      <c r="Q81" s="9">
        <f t="shared" si="20"/>
        <v>0.5505947071091466</v>
      </c>
      <c r="R81" s="9">
        <f t="shared" si="10"/>
        <v>6.2430139219361598</v>
      </c>
      <c r="S81" s="6">
        <f t="shared" si="21"/>
        <v>2.4918643486772172E-2</v>
      </c>
      <c r="T81" s="6">
        <f t="shared" si="11"/>
        <v>2.3458782137204502E-2</v>
      </c>
      <c r="U81" s="6">
        <f t="shared" si="12"/>
        <v>0.53514739675965906</v>
      </c>
      <c r="V81" s="6">
        <f t="shared" si="13"/>
        <v>1.1187189390564376E-2</v>
      </c>
      <c r="W81" s="6">
        <f t="shared" si="14"/>
        <v>-3.0996214510224471E-2</v>
      </c>
      <c r="X81" s="6">
        <f t="shared" si="15"/>
        <v>-1.9809025119659939E-2</v>
      </c>
      <c r="Y81">
        <f t="shared" si="16"/>
        <v>0.84517083524310177</v>
      </c>
      <c r="AA81" s="43">
        <f t="shared" si="22"/>
        <v>71</v>
      </c>
      <c r="AB81" s="6">
        <f t="shared" si="23"/>
        <v>0.99015222881190745</v>
      </c>
      <c r="AC81" s="6">
        <f>VLOOKUP($C81,'hours (1)'!$A$19:$P$103,16)</f>
        <v>0.19788836524095066</v>
      </c>
      <c r="AD81" s="6">
        <f t="shared" si="24"/>
        <v>0.99521747484902212</v>
      </c>
    </row>
    <row r="82" spans="1:30" x14ac:dyDescent="0.25">
      <c r="A82" s="39">
        <f>'hours (1)'!$A82*'hours (1)'!$B82/'hours (1)'!$A$105</f>
        <v>6.2031621566778031E-5</v>
      </c>
      <c r="B82" s="9">
        <f>'hours (1)'!$E82</f>
        <v>69.194425019587612</v>
      </c>
      <c r="C82" s="26">
        <f>'hours (1)'!$A82</f>
        <v>71</v>
      </c>
      <c r="D82" s="25">
        <f t="shared" si="1"/>
        <v>0.55992931874112384</v>
      </c>
      <c r="E82" s="25">
        <f t="shared" si="17"/>
        <v>2.9557072831157519E-3</v>
      </c>
      <c r="F82" s="25">
        <f t="shared" si="2"/>
        <v>2.591834271557578E-3</v>
      </c>
      <c r="G82" s="30">
        <f t="shared" si="18"/>
        <v>9.8537580761044743E-6</v>
      </c>
      <c r="H82" s="9">
        <f>'hours (1)'!$K82</f>
        <v>71.787499999999994</v>
      </c>
      <c r="I82" s="7">
        <f t="shared" si="3"/>
        <v>4.2</v>
      </c>
      <c r="J82" s="9">
        <f t="shared" si="4"/>
        <v>0.14716028045178078</v>
      </c>
      <c r="K82" s="18">
        <f t="shared" si="19"/>
        <v>3.7016815104861235E-3</v>
      </c>
      <c r="L82" s="19">
        <f t="shared" si="5"/>
        <v>-1.3490763575457893E-3</v>
      </c>
      <c r="M82" s="19">
        <f t="shared" si="6"/>
        <v>7.7791468989160409E-2</v>
      </c>
      <c r="N82" s="19">
        <f t="shared" si="7"/>
        <v>4.7590660035021576E-2</v>
      </c>
      <c r="O82" s="19">
        <f t="shared" si="8"/>
        <v>1.9645051155259274E-8</v>
      </c>
      <c r="P82" s="21">
        <f t="shared" si="9"/>
        <v>38.993850701706705</v>
      </c>
      <c r="Q82" s="9">
        <f t="shared" si="20"/>
        <v>0.54318440817282543</v>
      </c>
      <c r="R82" s="9">
        <f t="shared" si="10"/>
        <v>6.244505641098157</v>
      </c>
      <c r="S82" s="6">
        <f t="shared" si="21"/>
        <v>2.4912690794899248E-2</v>
      </c>
      <c r="T82" s="6">
        <f t="shared" si="11"/>
        <v>2.3473165316473039E-2</v>
      </c>
      <c r="U82" s="6">
        <f t="shared" si="12"/>
        <v>0.5345774843267318</v>
      </c>
      <c r="V82" s="6">
        <f t="shared" si="13"/>
        <v>1.1030489149099444E-2</v>
      </c>
      <c r="W82" s="6">
        <f t="shared" si="14"/>
        <v>-3.0361687055256294E-2</v>
      </c>
      <c r="X82" s="6">
        <f t="shared" si="15"/>
        <v>-1.9331197906156842E-2</v>
      </c>
      <c r="Y82">
        <f t="shared" si="16"/>
        <v>0.84678279951314606</v>
      </c>
      <c r="AA82" s="43">
        <f t="shared" si="22"/>
        <v>72</v>
      </c>
      <c r="AB82" s="6">
        <f t="shared" si="23"/>
        <v>0.99018724958762627</v>
      </c>
      <c r="AC82" s="6">
        <f>VLOOKUP($C82,'hours (1)'!$A$19:$P$103,16)</f>
        <v>9.2029363495985547E-2</v>
      </c>
      <c r="AD82" s="6">
        <f t="shared" si="24"/>
        <v>0.99522432721787746</v>
      </c>
    </row>
    <row r="83" spans="1:30" x14ac:dyDescent="0.25">
      <c r="A83" s="39">
        <f>'hours (1)'!$A83*'hours (1)'!$B83/'hours (1)'!$A$105</f>
        <v>2.2022461679981971E-3</v>
      </c>
      <c r="B83" s="9">
        <f>'hours (1)'!$E83</f>
        <v>70.194425019587612</v>
      </c>
      <c r="C83" s="26">
        <f>'hours (1)'!$A83</f>
        <v>72</v>
      </c>
      <c r="D83" s="25">
        <f t="shared" ref="D83:D102" si="25">$B$15/$C83</f>
        <v>0.55215252264749715</v>
      </c>
      <c r="E83" s="25">
        <f t="shared" si="17"/>
        <v>2.9141947496957935E-3</v>
      </c>
      <c r="F83" s="25">
        <f t="shared" ref="F83:F102" si="26">(((1-$B$16)*$B$4*$B$9+$B$11)/$C83+($B83/$C83-1+LN($C83/$B83))/$B$5)*$B$8</f>
        <v>2.5553755299648163E-3</v>
      </c>
      <c r="G83" s="30">
        <f t="shared" si="18"/>
        <v>9.8758338822567342E-6</v>
      </c>
      <c r="H83" s="9">
        <f>'hours (1)'!$K83</f>
        <v>72.787499999999994</v>
      </c>
      <c r="I83" s="7">
        <f t="shared" ref="I83:I102" si="27">IF($H83&gt;$B$14,1,0)*$B$13</f>
        <v>4.2</v>
      </c>
      <c r="J83" s="9">
        <f t="shared" ref="J83:J102" si="28">(1-$B$16-$B$12)*($B$4*$B$9+$I83)/$H83+$B$11/$H83+($B83/$H83-1+LN($H83/$B83))/$B$5</f>
        <v>0.14510137984181903</v>
      </c>
      <c r="K83" s="18">
        <f t="shared" si="19"/>
        <v>3.649891759226977E-3</v>
      </c>
      <c r="L83" s="19">
        <f t="shared" ref="L83:L102" si="29">$G83*($L$17^(($B$7+$B$6)/$B$6))+($K83*$L$17)-(1-$B$16-$B$12)*$B$8*(($F$4/$B$8)^(1/$B$7))</f>
        <v>-1.4648561597836451E-3</v>
      </c>
      <c r="M83" s="19">
        <f t="shared" si="6"/>
        <v>7.7905665836477053E-2</v>
      </c>
      <c r="N83" s="19">
        <f t="shared" si="7"/>
        <v>4.7697279476809872E-2</v>
      </c>
      <c r="O83" s="19">
        <f t="shared" ref="O83:O102" si="30">$G83*(P83^(1/$B$7+1/$B$6))+($K83*P83^(1/$B$7))-(1-$B$16-$B$12)*$B$8*(($F$4/$B$8)^(1/$B$7))</f>
        <v>2.5064623973558575E-8</v>
      </c>
      <c r="P83" s="21">
        <f t="shared" ref="P83:P102" si="31">($L$17-(M83/N83)*(1-SQRT(1-2*L83*N83/(M83^2))))^$B$7</f>
        <v>39.011896466626247</v>
      </c>
      <c r="Q83" s="9">
        <f t="shared" si="20"/>
        <v>0.53596972648636443</v>
      </c>
      <c r="R83" s="9">
        <f t="shared" ref="R83:R102" si="32">$P83^(($B$7-1)/$B$7)</f>
        <v>6.2459504053927812</v>
      </c>
      <c r="S83" s="6">
        <f t="shared" si="21"/>
        <v>2.490692818651984E-2</v>
      </c>
      <c r="T83" s="6">
        <f t="shared" ref="T83:T102" si="33">S83-($B$4*$B$9*$B$8/$H83)</f>
        <v>2.3487179805513191E-2</v>
      </c>
      <c r="U83" s="6">
        <f t="shared" ref="U83:U102" si="34">$B$6*T83/(T83-$B$8*$B$11/$H83-($B83/$H83-1+LN($H83/$B83))*$B$8/$B$5)</f>
        <v>0.53402567783388233</v>
      </c>
      <c r="V83" s="6">
        <f t="shared" ref="V83:V102" si="35">LN(H83/C83)</f>
        <v>1.0878118147182848E-2</v>
      </c>
      <c r="W83" s="6">
        <f t="shared" ref="W83:W102" si="36">LN(Q83/D83)</f>
        <v>-2.9746638214935825E-2</v>
      </c>
      <c r="X83" s="6">
        <f t="shared" ref="X83:X102" si="37">LN(P83/$B$15)</f>
        <v>-1.8868520067752852E-2</v>
      </c>
      <c r="Y83">
        <f t="shared" ref="Y83:Y102" si="38">$G$4-($B$4*$B$9+$B$11+($B83-$H83+$H83*LN($H83/$B83))/$B$5)*$B$8*$Q83</f>
        <v>0.84835114958793256</v>
      </c>
      <c r="AA83" s="43">
        <f t="shared" si="22"/>
        <v>73</v>
      </c>
      <c r="AB83" s="6">
        <f t="shared" si="23"/>
        <v>0.99141404305570213</v>
      </c>
      <c r="AC83" s="6">
        <f>VLOOKUP($C83,'hours (1)'!$A$19:$P$103,16)</f>
        <v>0.14716606785038841</v>
      </c>
      <c r="AD83" s="6">
        <f t="shared" si="24"/>
        <v>0.99560818265241557</v>
      </c>
    </row>
    <row r="84" spans="1:30" x14ac:dyDescent="0.25">
      <c r="A84" s="39">
        <f>'hours (1)'!$A84*'hours (1)'!$B84/'hours (1)'!$A$105</f>
        <v>4.7034308094518462E-5</v>
      </c>
      <c r="B84" s="9">
        <f>'hours (1)'!$E84</f>
        <v>71.194425019587612</v>
      </c>
      <c r="C84" s="26">
        <f>'hours (1)'!$A84</f>
        <v>73</v>
      </c>
      <c r="D84" s="25">
        <f t="shared" si="25"/>
        <v>0.54458878946054512</v>
      </c>
      <c r="E84" s="25">
        <f t="shared" ref="E84:E102" si="39">(($B$4*$B$9+$B$11)/$C84+($B84/$C84-1+LN($C84/$B84))/$B$5)*$B$8</f>
        <v>2.873832214469733E-3</v>
      </c>
      <c r="F84" s="25">
        <f t="shared" si="26"/>
        <v>2.5199283265158927E-3</v>
      </c>
      <c r="G84" s="30">
        <f t="shared" ref="G84:G102" si="40">((1-$B$16)*$B$8-$F84)*$F$5/($F$14*$B$15^(1/$B$6))</f>
        <v>9.8972972010053342E-6</v>
      </c>
      <c r="H84" s="9">
        <f>'hours (1)'!$K84</f>
        <v>73.787499999999994</v>
      </c>
      <c r="I84" s="7">
        <f t="shared" si="27"/>
        <v>4.2</v>
      </c>
      <c r="J84" s="9">
        <f t="shared" si="28"/>
        <v>0.14309930200478443</v>
      </c>
      <c r="K84" s="18">
        <f t="shared" ref="K84:K102" si="41">J84*$B$8</f>
        <v>3.5995313325605342E-3</v>
      </c>
      <c r="L84" s="19">
        <f t="shared" si="29"/>
        <v>-1.5774708121302355E-3</v>
      </c>
      <c r="M84" s="19">
        <f t="shared" ref="M84:M102" si="42">$G84*($B$7+$B$6)*($L$17^($B$7/$B$6))/$B$6+$K84</f>
        <v>7.8016686754104739E-2</v>
      </c>
      <c r="N84" s="19">
        <f t="shared" ref="N84:N102" si="43">$G84*($B$7+$B$6)*$B$7*($L$17^($B$7/$B$6-1))/($B$6^2)</f>
        <v>4.7800940790381691E-2</v>
      </c>
      <c r="O84" s="19">
        <f t="shared" si="30"/>
        <v>3.1198626515571704E-8</v>
      </c>
      <c r="P84" s="21">
        <f t="shared" si="31"/>
        <v>39.029387013515176</v>
      </c>
      <c r="Q84" s="9">
        <f t="shared" ref="Q84:Q102" si="44">$P84/$H84</f>
        <v>0.52894307319688538</v>
      </c>
      <c r="R84" s="9">
        <f t="shared" si="32"/>
        <v>6.2473503994505686</v>
      </c>
      <c r="S84" s="6">
        <f t="shared" ref="S84:S102" si="45">$B$8*($G$4/($B$8*$P84))^(1/$B$7)</f>
        <v>2.4901346692089512E-2</v>
      </c>
      <c r="T84" s="6">
        <f t="shared" si="33"/>
        <v>2.35008393530074E-2</v>
      </c>
      <c r="U84" s="6">
        <f t="shared" si="34"/>
        <v>0.53349113132906179</v>
      </c>
      <c r="V84" s="6">
        <f t="shared" si="35"/>
        <v>1.0729899418416629E-2</v>
      </c>
      <c r="W84" s="6">
        <f t="shared" si="36"/>
        <v>-2.9150181158919739E-2</v>
      </c>
      <c r="X84" s="6">
        <f t="shared" si="37"/>
        <v>-1.8420281740503256E-2</v>
      </c>
      <c r="Y84">
        <f t="shared" si="38"/>
        <v>0.84987762168828729</v>
      </c>
      <c r="AA84" s="43">
        <f t="shared" ref="AA84:AA102" si="46">ROUND($H84,0)</f>
        <v>74</v>
      </c>
      <c r="AB84" s="6">
        <f t="shared" si="23"/>
        <v>0.99143990070411037</v>
      </c>
      <c r="AC84" s="6">
        <f>VLOOKUP($C84,'hours (1)'!$A$19:$P$103,16)</f>
        <v>0.79661529955454524</v>
      </c>
      <c r="AD84" s="6">
        <f t="shared" si="24"/>
        <v>0.9956519778229368</v>
      </c>
    </row>
    <row r="85" spans="1:30" x14ac:dyDescent="0.25">
      <c r="A85" s="39">
        <f>'hours (1)'!$A85*'hours (1)'!$B85/'hours (1)'!$A$105</f>
        <v>1.7375672303408316E-4</v>
      </c>
      <c r="B85" s="9">
        <f>'hours (1)'!$E85</f>
        <v>72.194425019587612</v>
      </c>
      <c r="C85" s="26">
        <f>'hours (1)'!$A85</f>
        <v>74</v>
      </c>
      <c r="D85" s="25">
        <f t="shared" si="25"/>
        <v>0.53722948149486205</v>
      </c>
      <c r="E85" s="25">
        <f t="shared" si="39"/>
        <v>2.8345725407922817E-3</v>
      </c>
      <c r="F85" s="25">
        <f t="shared" si="26"/>
        <v>2.4854511378107906E-3</v>
      </c>
      <c r="G85" s="30">
        <f t="shared" si="40"/>
        <v>9.9181731748123932E-6</v>
      </c>
      <c r="H85" s="9">
        <f>'hours (1)'!$K85</f>
        <v>74.787499999999994</v>
      </c>
      <c r="I85" s="7">
        <f t="shared" si="27"/>
        <v>4.2</v>
      </c>
      <c r="J85" s="9">
        <f t="shared" si="28"/>
        <v>0.14115172637539222</v>
      </c>
      <c r="K85" s="18">
        <f t="shared" si="41"/>
        <v>3.5505418588012969E-3</v>
      </c>
      <c r="L85" s="19">
        <f t="shared" si="29"/>
        <v>-1.6870483641686917E-3</v>
      </c>
      <c r="M85" s="19">
        <f t="shared" si="42"/>
        <v>7.8124662414949933E-2</v>
      </c>
      <c r="N85" s="19">
        <f t="shared" si="43"/>
        <v>4.7901765406196145E-2</v>
      </c>
      <c r="O85" s="19">
        <f t="shared" si="30"/>
        <v>3.8040834565711279E-8</v>
      </c>
      <c r="P85" s="21">
        <f t="shared" si="31"/>
        <v>39.046347599528794</v>
      </c>
      <c r="Q85" s="9">
        <f t="shared" si="44"/>
        <v>0.52209724351701547</v>
      </c>
      <c r="R85" s="9">
        <f t="shared" si="32"/>
        <v>6.2487076743538577</v>
      </c>
      <c r="S85" s="6">
        <f t="shared" si="45"/>
        <v>2.4895937898034064E-2</v>
      </c>
      <c r="T85" s="6">
        <f t="shared" si="33"/>
        <v>2.351415704852684E-2</v>
      </c>
      <c r="U85" s="6">
        <f t="shared" si="34"/>
        <v>0.53297305056429201</v>
      </c>
      <c r="V85" s="6">
        <f t="shared" si="35"/>
        <v>1.0585665511980338E-2</v>
      </c>
      <c r="W85" s="6">
        <f t="shared" si="36"/>
        <v>-2.8571482271411958E-2</v>
      </c>
      <c r="X85" s="6">
        <f t="shared" si="37"/>
        <v>-1.7985816759431651E-2</v>
      </c>
      <c r="Y85">
        <f t="shared" si="38"/>
        <v>0.85136386171690814</v>
      </c>
      <c r="AA85" s="43">
        <f t="shared" si="46"/>
        <v>75</v>
      </c>
      <c r="AB85" s="6">
        <f t="shared" ref="AB85:AB103" si="47">$Q85*$A85/$Q$16+AB84</f>
        <v>0.99153418912227809</v>
      </c>
      <c r="AC85" s="6">
        <f>VLOOKUP($C85,'hours (1)'!$A$19:$P$103,16)</f>
        <v>0.36023021330378235</v>
      </c>
      <c r="AD85" s="6">
        <f t="shared" ref="AD85:AD103" si="48">$Q85*$A85*AC85/$Q$17+AD84</f>
        <v>0.99572419276010149</v>
      </c>
    </row>
    <row r="86" spans="1:30" x14ac:dyDescent="0.25">
      <c r="A86" s="39">
        <f>'hours (1)'!$A86*'hours (1)'!$B86/'hours (1)'!$A$105</f>
        <v>1.7556794325002622E-3</v>
      </c>
      <c r="B86" s="9">
        <f>'hours (1)'!$E86</f>
        <v>73.194425019587612</v>
      </c>
      <c r="C86" s="26">
        <f>'hours (1)'!$A86</f>
        <v>75</v>
      </c>
      <c r="D86" s="25">
        <f t="shared" si="25"/>
        <v>0.53006642174159724</v>
      </c>
      <c r="E86" s="25">
        <f t="shared" si="39"/>
        <v>2.796371133524917E-3</v>
      </c>
      <c r="F86" s="25">
        <f t="shared" si="26"/>
        <v>2.4519046825831792E-3</v>
      </c>
      <c r="G86" s="30">
        <f t="shared" si="40"/>
        <v>9.9384855885257445E-6</v>
      </c>
      <c r="H86" s="9">
        <f>'hours (1)'!$K86</f>
        <v>75.787499999999994</v>
      </c>
      <c r="I86" s="7">
        <f t="shared" si="27"/>
        <v>4.2</v>
      </c>
      <c r="J86" s="9">
        <f t="shared" si="28"/>
        <v>0.1392564570622794</v>
      </c>
      <c r="K86" s="18">
        <f t="shared" si="41"/>
        <v>3.5028681023216044E-3</v>
      </c>
      <c r="L86" s="19">
        <f t="shared" si="29"/>
        <v>-1.793710049786082E-3</v>
      </c>
      <c r="M86" s="19">
        <f t="shared" si="42"/>
        <v>7.8229716420160536E-2</v>
      </c>
      <c r="N86" s="19">
        <f t="shared" si="43"/>
        <v>4.7999868197847483E-2</v>
      </c>
      <c r="O86" s="19">
        <f t="shared" si="30"/>
        <v>4.5580504370867914E-8</v>
      </c>
      <c r="P86" s="21">
        <f t="shared" si="31"/>
        <v>39.062801971751654</v>
      </c>
      <c r="Q86" s="9">
        <f t="shared" si="44"/>
        <v>0.51542539299688805</v>
      </c>
      <c r="R86" s="9">
        <f t="shared" si="32"/>
        <v>6.2500241576934448</v>
      </c>
      <c r="S86" s="6">
        <f t="shared" si="45"/>
        <v>2.4890693904308724E-2</v>
      </c>
      <c r="T86" s="6">
        <f t="shared" si="33"/>
        <v>2.3527145360254343E-2</v>
      </c>
      <c r="U86" s="6">
        <f t="shared" si="34"/>
        <v>0.53247068911791595</v>
      </c>
      <c r="V86" s="6">
        <f t="shared" si="35"/>
        <v>1.0445257861538604E-2</v>
      </c>
      <c r="W86" s="6">
        <f t="shared" si="36"/>
        <v>-2.8009757206644954E-2</v>
      </c>
      <c r="X86" s="6">
        <f t="shared" si="37"/>
        <v>-1.7564499345106309E-2</v>
      </c>
      <c r="Y86">
        <f t="shared" si="38"/>
        <v>0.85281143100780699</v>
      </c>
      <c r="AA86" s="43">
        <f t="shared" si="46"/>
        <v>76</v>
      </c>
      <c r="AB86" s="6">
        <f t="shared" si="47"/>
        <v>0.99247472716031937</v>
      </c>
      <c r="AC86" s="6">
        <f>VLOOKUP($C86,'hours (1)'!$A$19:$P$103,16)</f>
        <v>0.31945577165479933</v>
      </c>
      <c r="AD86" s="6">
        <f t="shared" si="48"/>
        <v>0.99636300857015658</v>
      </c>
    </row>
    <row r="87" spans="1:30" x14ac:dyDescent="0.25">
      <c r="A87" s="39">
        <f>'hours (1)'!$A87*'hours (1)'!$B87/'hours (1)'!$A$105</f>
        <v>1.5110147583296491E-4</v>
      </c>
      <c r="B87" s="9">
        <f>'hours (1)'!$E87</f>
        <v>74.194425019587612</v>
      </c>
      <c r="C87" s="26">
        <f>'hours (1)'!$A87</f>
        <v>76</v>
      </c>
      <c r="D87" s="25">
        <f t="shared" si="25"/>
        <v>0.52309186356078674</v>
      </c>
      <c r="E87" s="25">
        <f t="shared" si="39"/>
        <v>2.7591857700135954E-3</v>
      </c>
      <c r="F87" s="25">
        <f t="shared" si="26"/>
        <v>2.4192517723737221E-3</v>
      </c>
      <c r="G87" s="30">
        <f t="shared" si="40"/>
        <v>9.9582569597963959E-6</v>
      </c>
      <c r="H87" s="9">
        <f>'hours (1)'!$K87</f>
        <v>76.787499999999994</v>
      </c>
      <c r="I87" s="7">
        <f t="shared" si="27"/>
        <v>4.2</v>
      </c>
      <c r="J87" s="9">
        <f t="shared" si="28"/>
        <v>0.13741141458542003</v>
      </c>
      <c r="K87" s="18">
        <f t="shared" si="41"/>
        <v>3.4564577557139155E-3</v>
      </c>
      <c r="L87" s="19">
        <f t="shared" si="29"/>
        <v>-1.8975707347205079E-3</v>
      </c>
      <c r="M87" s="19">
        <f t="shared" si="42"/>
        <v>7.8331965771131259E-2</v>
      </c>
      <c r="N87" s="19">
        <f t="shared" si="43"/>
        <v>4.8095357918754023E-2</v>
      </c>
      <c r="O87" s="19">
        <f t="shared" si="30"/>
        <v>5.3803269881025351E-8</v>
      </c>
      <c r="P87" s="21">
        <f t="shared" si="31"/>
        <v>39.078772478446304</v>
      </c>
      <c r="Q87" s="9">
        <f t="shared" si="44"/>
        <v>0.50892101550963775</v>
      </c>
      <c r="R87" s="9">
        <f t="shared" si="32"/>
        <v>6.2513016627296354</v>
      </c>
      <c r="S87" s="6">
        <f t="shared" si="45"/>
        <v>2.4885607285787877E-2</v>
      </c>
      <c r="T87" s="6">
        <f t="shared" si="33"/>
        <v>2.3539816170274005E-2</v>
      </c>
      <c r="U87" s="6">
        <f t="shared" si="34"/>
        <v>0.53198334485961063</v>
      </c>
      <c r="V87" s="6">
        <f t="shared" si="35"/>
        <v>1.0308526203714703E-2</v>
      </c>
      <c r="W87" s="6">
        <f t="shared" si="36"/>
        <v>-2.7464267291020587E-2</v>
      </c>
      <c r="X87" s="6">
        <f t="shared" si="37"/>
        <v>-1.7155741087306012E-2</v>
      </c>
      <c r="Y87">
        <f t="shared" si="38"/>
        <v>0.85422181164644762</v>
      </c>
      <c r="AA87" s="43">
        <f t="shared" si="46"/>
        <v>77</v>
      </c>
      <c r="AB87" s="6">
        <f t="shared" si="47"/>
        <v>0.9925546524876222</v>
      </c>
      <c r="AC87" s="6">
        <f>VLOOKUP($C87,'hours (1)'!$A$19:$P$103,16)</f>
        <v>9.7084790473669302E-2</v>
      </c>
      <c r="AD87" s="6">
        <f t="shared" si="48"/>
        <v>0.99637950629947236</v>
      </c>
    </row>
    <row r="88" spans="1:30" x14ac:dyDescent="0.25">
      <c r="A88" s="39">
        <f>'hours (1)'!$A88*'hours (1)'!$B88/'hours (1)'!$A$105</f>
        <v>2.3364851589299888E-4</v>
      </c>
      <c r="B88" s="9">
        <f>'hours (1)'!$E88</f>
        <v>75.194425019587612</v>
      </c>
      <c r="C88" s="26">
        <f>'hours (1)'!$A88</f>
        <v>77</v>
      </c>
      <c r="D88" s="25">
        <f t="shared" si="25"/>
        <v>0.51629846273532198</v>
      </c>
      <c r="E88" s="25">
        <f t="shared" si="39"/>
        <v>2.7229764443788577E-3</v>
      </c>
      <c r="F88" s="25">
        <f t="shared" si="26"/>
        <v>2.3874571739810608E-3</v>
      </c>
      <c r="G88" s="30">
        <f t="shared" si="40"/>
        <v>9.9775086223646044E-6</v>
      </c>
      <c r="H88" s="9">
        <f>'hours (1)'!$K88</f>
        <v>77.787499999999994</v>
      </c>
      <c r="I88" s="7">
        <f t="shared" si="27"/>
        <v>4.2</v>
      </c>
      <c r="J88" s="9">
        <f t="shared" si="28"/>
        <v>0.1356146282621174</v>
      </c>
      <c r="K88" s="18">
        <f t="shared" si="41"/>
        <v>3.4112612482674444E-3</v>
      </c>
      <c r="L88" s="19">
        <f t="shared" si="29"/>
        <v>-1.9987393292960481E-3</v>
      </c>
      <c r="M88" s="19">
        <f t="shared" si="42"/>
        <v>7.8431521304203097E-2</v>
      </c>
      <c r="N88" s="19">
        <f t="shared" si="43"/>
        <v>4.8188337604404559E-2</v>
      </c>
      <c r="O88" s="19">
        <f t="shared" si="30"/>
        <v>6.2691897687039422E-8</v>
      </c>
      <c r="P88" s="21">
        <f t="shared" si="31"/>
        <v>39.094280170606119</v>
      </c>
      <c r="Q88" s="9">
        <f t="shared" si="44"/>
        <v>0.50257792281029889</v>
      </c>
      <c r="R88" s="9">
        <f t="shared" si="32"/>
        <v>6.2525418967493627</v>
      </c>
      <c r="S88" s="6">
        <f t="shared" si="45"/>
        <v>2.4880671057088081E-2</v>
      </c>
      <c r="T88" s="6">
        <f t="shared" si="33"/>
        <v>2.3552180807593991E-2</v>
      </c>
      <c r="U88" s="6">
        <f t="shared" si="34"/>
        <v>0.53151035672343439</v>
      </c>
      <c r="V88" s="6">
        <f t="shared" si="35"/>
        <v>1.0175328041652446E-2</v>
      </c>
      <c r="W88" s="6">
        <f t="shared" si="36"/>
        <v>-2.6934316236811123E-2</v>
      </c>
      <c r="X88" s="6">
        <f t="shared" si="37"/>
        <v>-1.6758988195158944E-2</v>
      </c>
      <c r="Y88">
        <f t="shared" si="38"/>
        <v>0.85559641139705078</v>
      </c>
      <c r="AA88" s="43">
        <f t="shared" si="46"/>
        <v>78</v>
      </c>
      <c r="AB88" s="6">
        <f t="shared" si="47"/>
        <v>0.99267670079644899</v>
      </c>
      <c r="AC88" s="6">
        <f>VLOOKUP($C88,'hours (1)'!$A$19:$P$103,16)</f>
        <v>0.16786469164474194</v>
      </c>
      <c r="AD88" s="6">
        <f t="shared" si="48"/>
        <v>0.99642306547746695</v>
      </c>
    </row>
    <row r="89" spans="1:30" x14ac:dyDescent="0.25">
      <c r="A89" s="39">
        <f>'hours (1)'!$A89*'hours (1)'!$B89/'hours (1)'!$A$105</f>
        <v>1.7934446906268614E-4</v>
      </c>
      <c r="B89" s="9">
        <f>'hours (1)'!$E89</f>
        <v>76.194425019587612</v>
      </c>
      <c r="C89" s="26">
        <f>'hours (1)'!$A89</f>
        <v>78</v>
      </c>
      <c r="D89" s="25">
        <f t="shared" si="25"/>
        <v>0.50967925167461281</v>
      </c>
      <c r="E89" s="25">
        <f t="shared" si="39"/>
        <v>2.6877052239114487E-3</v>
      </c>
      <c r="F89" s="25">
        <f t="shared" si="26"/>
        <v>2.3564874826213162E-3</v>
      </c>
      <c r="G89" s="30">
        <f t="shared" si="40"/>
        <v>9.996260802861941E-6</v>
      </c>
      <c r="H89" s="9">
        <f>'hours (1)'!$K89</f>
        <v>78.787499999999994</v>
      </c>
      <c r="I89" s="7">
        <f t="shared" si="27"/>
        <v>4.2</v>
      </c>
      <c r="J89" s="9">
        <f t="shared" si="28"/>
        <v>0.13386422918294236</v>
      </c>
      <c r="K89" s="18">
        <f t="shared" si="41"/>
        <v>3.3672315692843489E-3</v>
      </c>
      <c r="L89" s="19">
        <f t="shared" si="29"/>
        <v>-2.0973191694675236E-3</v>
      </c>
      <c r="M89" s="19">
        <f t="shared" si="42"/>
        <v>7.8528488091449328E-2</v>
      </c>
      <c r="N89" s="19">
        <f t="shared" si="43"/>
        <v>4.8278904943289021E-2</v>
      </c>
      <c r="O89" s="19">
        <f t="shared" si="30"/>
        <v>7.222692183228574E-8</v>
      </c>
      <c r="P89" s="21">
        <f t="shared" si="31"/>
        <v>39.109344894784634</v>
      </c>
      <c r="Q89" s="9">
        <f t="shared" si="44"/>
        <v>0.49639022554065859</v>
      </c>
      <c r="R89" s="9">
        <f t="shared" si="32"/>
        <v>6.2537464687005526</v>
      </c>
      <c r="S89" s="6">
        <f t="shared" si="45"/>
        <v>2.4875878640473151E-2</v>
      </c>
      <c r="T89" s="6">
        <f t="shared" si="33"/>
        <v>2.3564250079057679E-2</v>
      </c>
      <c r="U89" s="6">
        <f t="shared" si="34"/>
        <v>0.53105110175813408</v>
      </c>
      <c r="V89" s="6">
        <f t="shared" si="35"/>
        <v>1.0045528149636614E-2</v>
      </c>
      <c r="W89" s="6">
        <f t="shared" si="36"/>
        <v>-2.6419247136309155E-2</v>
      </c>
      <c r="X89" s="6">
        <f t="shared" si="37"/>
        <v>-1.6373718986672482E-2</v>
      </c>
      <c r="Y89">
        <f t="shared" si="38"/>
        <v>0.85693656827010067</v>
      </c>
      <c r="AA89" s="43">
        <f t="shared" si="46"/>
        <v>79</v>
      </c>
      <c r="AB89" s="6">
        <f t="shared" si="47"/>
        <v>0.99276922951360091</v>
      </c>
      <c r="AC89" s="6">
        <f>VLOOKUP($C89,'hours (1)'!$A$19:$P$103,16)</f>
        <v>4.9492361336892138E-2</v>
      </c>
      <c r="AD89" s="6">
        <f t="shared" si="48"/>
        <v>0.99643280198644391</v>
      </c>
    </row>
    <row r="90" spans="1:30" x14ac:dyDescent="0.25">
      <c r="A90" s="39">
        <f>'hours (1)'!$A90*'hours (1)'!$B90/'hours (1)'!$A$105</f>
        <v>7.8487843095564717E-3</v>
      </c>
      <c r="B90" s="9">
        <f>'hours (1)'!$E90</f>
        <v>78.194425019587612</v>
      </c>
      <c r="C90" s="26">
        <f>'hours (1)'!$A90</f>
        <v>80</v>
      </c>
      <c r="D90" s="25">
        <f t="shared" si="25"/>
        <v>0.49693727038274743</v>
      </c>
      <c r="E90" s="25">
        <f t="shared" si="39"/>
        <v>2.6198349480388724E-3</v>
      </c>
      <c r="F90" s="25">
        <f t="shared" si="26"/>
        <v>2.2968976502809931E-3</v>
      </c>
      <c r="G90" s="30">
        <f t="shared" si="40"/>
        <v>1.0032342508645552E-5</v>
      </c>
      <c r="H90" s="9">
        <f>'hours (1)'!$K90</f>
        <v>80.787499999999994</v>
      </c>
      <c r="I90" s="7">
        <f t="shared" si="27"/>
        <v>4.2</v>
      </c>
      <c r="J90" s="9">
        <f t="shared" si="28"/>
        <v>0.13049558755486421</v>
      </c>
      <c r="K90" s="18">
        <f t="shared" si="41"/>
        <v>3.282496487291918E-3</v>
      </c>
      <c r="L90" s="19">
        <f t="shared" si="29"/>
        <v>-2.2871001451424955E-3</v>
      </c>
      <c r="M90" s="19">
        <f t="shared" si="42"/>
        <v>7.8715049086824418E-2</v>
      </c>
      <c r="N90" s="19">
        <f t="shared" si="43"/>
        <v>4.8453168628288114E-2</v>
      </c>
      <c r="O90" s="19">
        <f t="shared" si="30"/>
        <v>9.3150242228001723E-8</v>
      </c>
      <c r="P90" s="21">
        <f t="shared" si="31"/>
        <v>39.138219305923627</v>
      </c>
      <c r="Q90" s="9">
        <f t="shared" si="44"/>
        <v>0.48445884952404306</v>
      </c>
      <c r="R90" s="9">
        <f t="shared" si="32"/>
        <v>6.2560546118079587</v>
      </c>
      <c r="S90" s="6">
        <f t="shared" si="45"/>
        <v>2.4866700797345584E-2</v>
      </c>
      <c r="T90" s="6">
        <f t="shared" si="33"/>
        <v>2.3587543312802536E-2</v>
      </c>
      <c r="U90" s="6">
        <f t="shared" si="34"/>
        <v>0.53017147413564225</v>
      </c>
      <c r="V90" s="6">
        <f t="shared" si="35"/>
        <v>9.7956159151321616E-3</v>
      </c>
      <c r="W90" s="6">
        <f t="shared" si="36"/>
        <v>-2.5431307776115519E-2</v>
      </c>
      <c r="X90" s="6">
        <f t="shared" si="37"/>
        <v>-1.5635691860983351E-2</v>
      </c>
      <c r="Y90">
        <f t="shared" si="38"/>
        <v>0.85951858178009277</v>
      </c>
      <c r="AA90" s="43">
        <f t="shared" si="46"/>
        <v>81</v>
      </c>
      <c r="AB90" s="6">
        <f t="shared" si="47"/>
        <v>0.99672129943928622</v>
      </c>
      <c r="AC90" s="6">
        <f>VLOOKUP($C90,'hours (1)'!$A$19:$P$103,16)</f>
        <v>0.253388979833571</v>
      </c>
      <c r="AD90" s="6">
        <f t="shared" si="48"/>
        <v>0.99856192569382141</v>
      </c>
    </row>
    <row r="91" spans="1:30" x14ac:dyDescent="0.25">
      <c r="A91" s="39">
        <f>'hours (1)'!$A91*'hours (1)'!$B91/'hours (1)'!$A$105</f>
        <v>9.4027535741569827E-5</v>
      </c>
      <c r="B91" s="9">
        <f>'hours (1)'!$E91</f>
        <v>80.194425019587612</v>
      </c>
      <c r="C91" s="26">
        <f>'hours (1)'!$A91</f>
        <v>82</v>
      </c>
      <c r="D91" s="25">
        <f t="shared" si="25"/>
        <v>0.48481684915389994</v>
      </c>
      <c r="E91" s="25">
        <f t="shared" si="39"/>
        <v>2.5553081501955076E-3</v>
      </c>
      <c r="F91" s="25">
        <f t="shared" si="26"/>
        <v>2.2402473718951374E-3</v>
      </c>
      <c r="G91" s="30">
        <f t="shared" si="40"/>
        <v>1.0066644311436415E-5</v>
      </c>
      <c r="H91" s="9">
        <f>'hours (1)'!$K91</f>
        <v>82.787499999999994</v>
      </c>
      <c r="I91" s="7">
        <f t="shared" si="27"/>
        <v>4.2</v>
      </c>
      <c r="J91" s="9">
        <f t="shared" si="28"/>
        <v>0.1272923393051138</v>
      </c>
      <c r="K91" s="18">
        <f t="shared" si="41"/>
        <v>3.2019217236179433E-3</v>
      </c>
      <c r="L91" s="19">
        <f t="shared" si="29"/>
        <v>-2.4676416027769599E-3</v>
      </c>
      <c r="M91" s="19">
        <f t="shared" si="42"/>
        <v>7.889238742181616E-2</v>
      </c>
      <c r="N91" s="19">
        <f t="shared" si="43"/>
        <v>4.8618835922187582E-2</v>
      </c>
      <c r="O91" s="19">
        <f t="shared" si="30"/>
        <v>1.163910503115817E-7</v>
      </c>
      <c r="P91" s="21">
        <f t="shared" si="31"/>
        <v>39.165533452264725</v>
      </c>
      <c r="Q91" s="9">
        <f t="shared" si="44"/>
        <v>0.47308510889040889</v>
      </c>
      <c r="R91" s="9">
        <f t="shared" si="32"/>
        <v>6.2582372480008077</v>
      </c>
      <c r="S91" s="6">
        <f t="shared" si="45"/>
        <v>2.4858028233649732E-2</v>
      </c>
      <c r="T91" s="6">
        <f t="shared" si="33"/>
        <v>2.360977293807345E-2</v>
      </c>
      <c r="U91" s="6">
        <f t="shared" si="34"/>
        <v>0.52934014355497583</v>
      </c>
      <c r="V91" s="6">
        <f t="shared" si="35"/>
        <v>9.5578365468446409E-3</v>
      </c>
      <c r="W91" s="6">
        <f t="shared" si="36"/>
        <v>-2.4495882471667434E-2</v>
      </c>
      <c r="X91" s="6">
        <f t="shared" si="37"/>
        <v>-1.4938045924822735E-2</v>
      </c>
      <c r="Y91">
        <f t="shared" si="38"/>
        <v>0.86197731484483098</v>
      </c>
      <c r="AA91" s="43">
        <f t="shared" si="46"/>
        <v>83</v>
      </c>
      <c r="AB91" s="6">
        <f t="shared" si="47"/>
        <v>0.99676753324723277</v>
      </c>
      <c r="AC91" s="6">
        <f>VLOOKUP($C91,'hours (1)'!$A$19:$P$103,16)</f>
        <v>0</v>
      </c>
      <c r="AD91" s="6">
        <f t="shared" si="48"/>
        <v>0.99856192569382141</v>
      </c>
    </row>
    <row r="92" spans="1:30" x14ac:dyDescent="0.25">
      <c r="A92" s="39">
        <f>'hours (1)'!$A92*'hours (1)'!$B92/'hours (1)'!$A$105</f>
        <v>1.5392736740416385E-3</v>
      </c>
      <c r="B92" s="9">
        <f>'hours (1)'!$E92</f>
        <v>82.194425019587612</v>
      </c>
      <c r="C92" s="26">
        <f>'hours (1)'!$A92</f>
        <v>84</v>
      </c>
      <c r="D92" s="25">
        <f t="shared" si="25"/>
        <v>0.47327359084071186</v>
      </c>
      <c r="E92" s="25">
        <f t="shared" si="39"/>
        <v>2.4938836946941097E-3</v>
      </c>
      <c r="F92" s="25">
        <f t="shared" si="26"/>
        <v>2.1863243634961294E-3</v>
      </c>
      <c r="G92" s="30">
        <f t="shared" si="40"/>
        <v>1.0099294749398863E-5</v>
      </c>
      <c r="H92" s="9">
        <f>'hours (1)'!$K92</f>
        <v>84.787499999999994</v>
      </c>
      <c r="I92" s="7">
        <f t="shared" si="27"/>
        <v>4.2</v>
      </c>
      <c r="J92" s="9">
        <f t="shared" si="28"/>
        <v>0.12424259462490177</v>
      </c>
      <c r="K92" s="18">
        <f t="shared" si="41"/>
        <v>3.1252082010574628E-3</v>
      </c>
      <c r="L92" s="19">
        <f t="shared" si="29"/>
        <v>-2.6396022808367475E-3</v>
      </c>
      <c r="M92" s="19">
        <f t="shared" si="42"/>
        <v>7.9061170489596141E-2</v>
      </c>
      <c r="N92" s="19">
        <f t="shared" si="43"/>
        <v>4.877652762529866E-2</v>
      </c>
      <c r="O92" s="19">
        <f t="shared" si="30"/>
        <v>1.4175766092916486E-7</v>
      </c>
      <c r="P92" s="21">
        <f t="shared" si="31"/>
        <v>39.191410560252834</v>
      </c>
      <c r="Q92" s="9">
        <f t="shared" si="44"/>
        <v>0.46223099584552957</v>
      </c>
      <c r="R92" s="9">
        <f t="shared" si="32"/>
        <v>6.2603043504491724</v>
      </c>
      <c r="S92" s="6">
        <f t="shared" si="45"/>
        <v>2.4849820311455086E-2</v>
      </c>
      <c r="T92" s="6">
        <f t="shared" si="33"/>
        <v>2.3631009339525007E-2</v>
      </c>
      <c r="U92" s="6">
        <f t="shared" si="34"/>
        <v>0.52855325028387279</v>
      </c>
      <c r="V92" s="6">
        <f t="shared" si="35"/>
        <v>9.3313274288842219E-3</v>
      </c>
      <c r="W92" s="6">
        <f t="shared" si="36"/>
        <v>-2.3608880291988855E-2</v>
      </c>
      <c r="X92" s="6">
        <f t="shared" si="37"/>
        <v>-1.4277552863104623E-2</v>
      </c>
      <c r="Y92">
        <f t="shared" si="38"/>
        <v>0.86432135588592096</v>
      </c>
      <c r="AA92" s="43">
        <f t="shared" si="46"/>
        <v>85</v>
      </c>
      <c r="AB92" s="6">
        <f t="shared" si="47"/>
        <v>0.99750703675526653</v>
      </c>
      <c r="AC92" s="6">
        <f>VLOOKUP($C92,'hours (1)'!$A$19:$P$103,16)</f>
        <v>0.12384700904139835</v>
      </c>
      <c r="AD92" s="6">
        <f t="shared" si="48"/>
        <v>0.99875664737647585</v>
      </c>
    </row>
    <row r="93" spans="1:30" x14ac:dyDescent="0.25">
      <c r="A93" s="39">
        <f>'hours (1)'!$A93*'hours (1)'!$B93/'hours (1)'!$A$105</f>
        <v>6.3559081061839761E-4</v>
      </c>
      <c r="B93" s="9">
        <f>'hours (1)'!$E93</f>
        <v>83.194425019587612</v>
      </c>
      <c r="C93" s="26">
        <f>'hours (1)'!$A93</f>
        <v>85</v>
      </c>
      <c r="D93" s="25">
        <f t="shared" si="25"/>
        <v>0.4677056662425858</v>
      </c>
      <c r="E93" s="25">
        <f t="shared" si="39"/>
        <v>2.4642657558685802E-3</v>
      </c>
      <c r="F93" s="25">
        <f t="shared" si="26"/>
        <v>2.1603247697435175E-3</v>
      </c>
      <c r="G93" s="30">
        <f t="shared" si="40"/>
        <v>1.0115037530598809E-5</v>
      </c>
      <c r="H93" s="9">
        <f>'hours (1)'!$K93</f>
        <v>85.787499999999994</v>
      </c>
      <c r="I93" s="7">
        <f t="shared" si="27"/>
        <v>4.2</v>
      </c>
      <c r="J93" s="9">
        <f t="shared" si="28"/>
        <v>0.12277187851507325</v>
      </c>
      <c r="K93" s="18">
        <f t="shared" si="41"/>
        <v>3.0882136899420118E-3</v>
      </c>
      <c r="L93" s="19">
        <f t="shared" si="29"/>
        <v>-2.7225537608098899E-3</v>
      </c>
      <c r="M93" s="19">
        <f t="shared" si="42"/>
        <v>7.9142544960590741E-2</v>
      </c>
      <c r="N93" s="19">
        <f t="shared" si="43"/>
        <v>4.8852560479191148E-2</v>
      </c>
      <c r="O93" s="19">
        <f t="shared" si="30"/>
        <v>1.5517758990279962E-7</v>
      </c>
      <c r="P93" s="21">
        <f t="shared" si="31"/>
        <v>39.203845229022996</v>
      </c>
      <c r="Q93" s="9">
        <f t="shared" si="44"/>
        <v>0.45698785054959051</v>
      </c>
      <c r="R93" s="9">
        <f t="shared" si="32"/>
        <v>6.2612974078079855</v>
      </c>
      <c r="S93" s="6">
        <f t="shared" si="45"/>
        <v>2.48458790680804E-2</v>
      </c>
      <c r="T93" s="6">
        <f t="shared" si="33"/>
        <v>2.3641275422065289E-2</v>
      </c>
      <c r="U93" s="6">
        <f t="shared" si="34"/>
        <v>0.528175372146793</v>
      </c>
      <c r="V93" s="6">
        <f t="shared" si="35"/>
        <v>9.2220517444366081E-3</v>
      </c>
      <c r="W93" s="6">
        <f t="shared" si="36"/>
        <v>-2.3182374470353578E-2</v>
      </c>
      <c r="X93" s="6">
        <f t="shared" si="37"/>
        <v>-1.3960322725917127E-2</v>
      </c>
      <c r="Y93">
        <f t="shared" si="38"/>
        <v>0.86545283615112956</v>
      </c>
      <c r="AA93" s="43">
        <f t="shared" si="46"/>
        <v>86</v>
      </c>
      <c r="AB93" s="6">
        <f t="shared" si="47"/>
        <v>0.99780892596864079</v>
      </c>
      <c r="AC93" s="6">
        <f>VLOOKUP($C93,'hours (1)'!$A$19:$P$103,16)</f>
        <v>0.16763775735501135</v>
      </c>
      <c r="AD93" s="6">
        <f t="shared" si="48"/>
        <v>0.99886424631590176</v>
      </c>
    </row>
    <row r="94" spans="1:30" x14ac:dyDescent="0.25">
      <c r="A94" s="39">
        <f>'hours (1)'!$A94*'hours (1)'!$B94/'hours (1)'!$A$105</f>
        <v>6.2866001373679725E-5</v>
      </c>
      <c r="B94" s="9">
        <f>'hours (1)'!$E94</f>
        <v>84.194425019587612</v>
      </c>
      <c r="C94" s="26">
        <f>'hours (1)'!$A94</f>
        <v>86</v>
      </c>
      <c r="D94" s="25">
        <f t="shared" si="25"/>
        <v>0.46226722826302086</v>
      </c>
      <c r="E94" s="25">
        <f t="shared" si="39"/>
        <v>2.4353430905051051E-3</v>
      </c>
      <c r="F94" s="25">
        <f t="shared" si="26"/>
        <v>2.1349363018931247E-3</v>
      </c>
      <c r="G94" s="30">
        <f t="shared" si="40"/>
        <v>1.0130410274426026E-5</v>
      </c>
      <c r="H94" s="9">
        <f>'hours (1)'!$K94</f>
        <v>86.787499999999994</v>
      </c>
      <c r="I94" s="7">
        <f t="shared" si="27"/>
        <v>4.2</v>
      </c>
      <c r="J94" s="9">
        <f t="shared" si="28"/>
        <v>0.12133557676784026</v>
      </c>
      <c r="K94" s="18">
        <f t="shared" si="41"/>
        <v>3.0520848404665354E-3</v>
      </c>
      <c r="L94" s="19">
        <f t="shared" si="29"/>
        <v>-2.8035797482246078E-3</v>
      </c>
      <c r="M94" s="19">
        <f t="shared" si="42"/>
        <v>7.9222002805483652E-2</v>
      </c>
      <c r="N94" s="19">
        <f t="shared" si="43"/>
        <v>4.8926806164911879E-2</v>
      </c>
      <c r="O94" s="19">
        <f t="shared" si="30"/>
        <v>1.6905658117849498E-7</v>
      </c>
      <c r="P94" s="21">
        <f t="shared" si="31"/>
        <v>39.215961205844373</v>
      </c>
      <c r="Q94" s="9">
        <f t="shared" si="44"/>
        <v>0.45186186035828174</v>
      </c>
      <c r="R94" s="9">
        <f t="shared" si="32"/>
        <v>6.2622648623197321</v>
      </c>
      <c r="S94" s="6">
        <f t="shared" si="45"/>
        <v>2.4842040639280086E-2</v>
      </c>
      <c r="T94" s="6">
        <f t="shared" si="33"/>
        <v>2.3651316914290642E-2</v>
      </c>
      <c r="U94" s="6">
        <f t="shared" si="34"/>
        <v>0.52780733411616465</v>
      </c>
      <c r="V94" s="6">
        <f t="shared" si="35"/>
        <v>9.115305825883907E-3</v>
      </c>
      <c r="W94" s="6">
        <f t="shared" si="36"/>
        <v>-2.2766625572359901E-2</v>
      </c>
      <c r="X94" s="6">
        <f t="shared" si="37"/>
        <v>-1.3651319746476022E-2</v>
      </c>
      <c r="Y94">
        <f t="shared" si="38"/>
        <v>0.86655851721684718</v>
      </c>
      <c r="AA94" s="43">
        <f t="shared" si="46"/>
        <v>87</v>
      </c>
      <c r="AB94" s="6">
        <f t="shared" si="47"/>
        <v>0.99783845076126121</v>
      </c>
      <c r="AC94" s="6">
        <f>VLOOKUP($C94,'hours (1)'!$A$19:$P$103,16)</f>
        <v>0</v>
      </c>
      <c r="AD94" s="6">
        <f t="shared" si="48"/>
        <v>0.99886424631590176</v>
      </c>
    </row>
    <row r="95" spans="1:30" x14ac:dyDescent="0.25">
      <c r="A95" s="39">
        <f>'hours (1)'!$A95*'hours (1)'!$B95/'hours (1)'!$A$105</f>
        <v>3.635257383757674E-5</v>
      </c>
      <c r="B95" s="9">
        <f>'hours (1)'!$E95</f>
        <v>85.194425019587612</v>
      </c>
      <c r="C95" s="26">
        <f>'hours (1)'!$A95</f>
        <v>87</v>
      </c>
      <c r="D95" s="25">
        <f t="shared" si="25"/>
        <v>0.45695381184620454</v>
      </c>
      <c r="E95" s="25">
        <f t="shared" si="39"/>
        <v>2.407091499510833E-3</v>
      </c>
      <c r="F95" s="25">
        <f t="shared" si="26"/>
        <v>2.1101376624920939E-3</v>
      </c>
      <c r="G95" s="30">
        <f t="shared" si="40"/>
        <v>1.0145425876510484E-5</v>
      </c>
      <c r="H95" s="9">
        <f>'hours (1)'!$K95</f>
        <v>87.787499999999994</v>
      </c>
      <c r="I95" s="7">
        <f t="shared" si="27"/>
        <v>4.2</v>
      </c>
      <c r="J95" s="9">
        <f t="shared" si="28"/>
        <v>0.11993249533267292</v>
      </c>
      <c r="K95" s="18">
        <f t="shared" si="41"/>
        <v>3.0167916173881306E-3</v>
      </c>
      <c r="L95" s="19">
        <f t="shared" si="29"/>
        <v>-2.8827465194804641E-3</v>
      </c>
      <c r="M95" s="19">
        <f t="shared" si="42"/>
        <v>7.9299610950462951E-2</v>
      </c>
      <c r="N95" s="19">
        <f t="shared" si="43"/>
        <v>4.8999326964438664E-2</v>
      </c>
      <c r="O95" s="19">
        <f t="shared" si="30"/>
        <v>1.8337102040966169E-7</v>
      </c>
      <c r="P95" s="21">
        <f t="shared" si="31"/>
        <v>39.227770595729901</v>
      </c>
      <c r="Q95" s="9">
        <f t="shared" si="44"/>
        <v>0.44684915956975541</v>
      </c>
      <c r="R95" s="9">
        <f t="shared" si="32"/>
        <v>6.2632076922077156</v>
      </c>
      <c r="S95" s="6">
        <f t="shared" si="45"/>
        <v>2.483830105095023E-2</v>
      </c>
      <c r="T95" s="6">
        <f t="shared" si="33"/>
        <v>2.3661141030645275E-2</v>
      </c>
      <c r="U95" s="6">
        <f t="shared" si="34"/>
        <v>0.52744875784915046</v>
      </c>
      <c r="V95" s="6">
        <f t="shared" si="35"/>
        <v>9.0110028305549657E-3</v>
      </c>
      <c r="W95" s="6">
        <f t="shared" si="36"/>
        <v>-2.2361230578893752E-2</v>
      </c>
      <c r="X95" s="6">
        <f t="shared" si="37"/>
        <v>-1.3350227748338684E-2</v>
      </c>
      <c r="Y95">
        <f t="shared" si="38"/>
        <v>0.86763926834319294</v>
      </c>
      <c r="AA95" s="43">
        <f t="shared" si="46"/>
        <v>88</v>
      </c>
      <c r="AB95" s="6">
        <f t="shared" si="47"/>
        <v>0.99785533422085615</v>
      </c>
      <c r="AC95" s="6">
        <f>VLOOKUP($C95,'hours (1)'!$A$19:$P$103,16)</f>
        <v>0</v>
      </c>
      <c r="AD95" s="6">
        <f t="shared" si="48"/>
        <v>0.99886424631590176</v>
      </c>
    </row>
    <row r="96" spans="1:30" x14ac:dyDescent="0.25">
      <c r="A96" s="39">
        <f>'hours (1)'!$A96*'hours (1)'!$B96/'hours (1)'!$A$105</f>
        <v>2.4316544559487854E-5</v>
      </c>
      <c r="B96" s="9">
        <f>'hours (1)'!$E96</f>
        <v>87.194425019587612</v>
      </c>
      <c r="C96" s="26">
        <f>'hours (1)'!$A96</f>
        <v>89</v>
      </c>
      <c r="D96" s="25">
        <f t="shared" si="25"/>
        <v>0.44668518686089659</v>
      </c>
      <c r="E96" s="25">
        <f t="shared" si="39"/>
        <v>2.3525102321760123E-3</v>
      </c>
      <c r="F96" s="25">
        <f t="shared" si="26"/>
        <v>2.0622295150902782E-3</v>
      </c>
      <c r="G96" s="30">
        <f t="shared" si="40"/>
        <v>1.0174434309850558E-5</v>
      </c>
      <c r="H96" s="9">
        <f>'hours (1)'!$K96</f>
        <v>89.787499999999994</v>
      </c>
      <c r="I96" s="7">
        <f t="shared" si="27"/>
        <v>4.2</v>
      </c>
      <c r="J96" s="9">
        <f t="shared" si="28"/>
        <v>0.11722148716565663</v>
      </c>
      <c r="K96" s="18">
        <f t="shared" si="41"/>
        <v>2.9485987002788889E-3</v>
      </c>
      <c r="L96" s="19">
        <f t="shared" si="29"/>
        <v>-3.0357526511873983E-3</v>
      </c>
      <c r="M96" s="19">
        <f t="shared" si="42"/>
        <v>7.9449530619907574E-2</v>
      </c>
      <c r="N96" s="19">
        <f t="shared" si="43"/>
        <v>4.913942889088882E-2</v>
      </c>
      <c r="O96" s="19">
        <f t="shared" si="30"/>
        <v>2.1321405577201524E-7</v>
      </c>
      <c r="P96" s="21">
        <f t="shared" si="31"/>
        <v>39.250515043540197</v>
      </c>
      <c r="Q96" s="9">
        <f t="shared" si="44"/>
        <v>0.43714899115734596</v>
      </c>
      <c r="R96" s="9">
        <f t="shared" si="32"/>
        <v>6.265023147885425</v>
      </c>
      <c r="S96" s="6">
        <f t="shared" si="45"/>
        <v>2.4831103498187349E-2</v>
      </c>
      <c r="T96" s="6">
        <f t="shared" si="33"/>
        <v>2.3680164500191843E-2</v>
      </c>
      <c r="U96" s="6">
        <f t="shared" si="34"/>
        <v>0.52675857155088157</v>
      </c>
      <c r="V96" s="6">
        <f t="shared" si="35"/>
        <v>8.8093976687800973E-3</v>
      </c>
      <c r="W96" s="6">
        <f t="shared" si="36"/>
        <v>-2.1579988686733304E-2</v>
      </c>
      <c r="X96" s="6">
        <f t="shared" si="37"/>
        <v>-1.2770591017953253E-2</v>
      </c>
      <c r="Y96">
        <f t="shared" si="38"/>
        <v>0.86972926762896563</v>
      </c>
      <c r="AA96" s="43">
        <f t="shared" si="46"/>
        <v>90</v>
      </c>
      <c r="AB96" s="6">
        <f t="shared" si="47"/>
        <v>0.99786638255176385</v>
      </c>
      <c r="AC96" s="6">
        <f>VLOOKUP($C96,'hours (1)'!$A$19:$P$103,16)</f>
        <v>0</v>
      </c>
      <c r="AD96" s="6">
        <f t="shared" si="48"/>
        <v>0.99886424631590176</v>
      </c>
    </row>
    <row r="97" spans="1:30" x14ac:dyDescent="0.25">
      <c r="A97" s="39">
        <f>'hours (1)'!$A97*'hours (1)'!$B97/'hours (1)'!$A$105</f>
        <v>1.0914241648678396E-3</v>
      </c>
      <c r="B97" s="9">
        <f>'hours (1)'!$E97</f>
        <v>88.194425019587612</v>
      </c>
      <c r="C97" s="26">
        <f>'hours (1)'!$A97</f>
        <v>90</v>
      </c>
      <c r="D97" s="25">
        <f t="shared" si="25"/>
        <v>0.44172201811799772</v>
      </c>
      <c r="E97" s="25">
        <f t="shared" si="39"/>
        <v>2.326137460968642E-3</v>
      </c>
      <c r="F97" s="25">
        <f t="shared" si="26"/>
        <v>2.0390820851838602E-3</v>
      </c>
      <c r="G97" s="30">
        <f t="shared" si="40"/>
        <v>1.0188450102859677E-5</v>
      </c>
      <c r="H97" s="9">
        <f>'hours (1)'!$K97</f>
        <v>90.787499999999994</v>
      </c>
      <c r="I97" s="7">
        <f t="shared" si="27"/>
        <v>4.2</v>
      </c>
      <c r="J97" s="9">
        <f t="shared" si="28"/>
        <v>0.11591143324789614</v>
      </c>
      <c r="K97" s="18">
        <f t="shared" si="41"/>
        <v>2.9156454988428335E-3</v>
      </c>
      <c r="L97" s="19">
        <f t="shared" si="29"/>
        <v>-3.109710191284254E-3</v>
      </c>
      <c r="M97" s="19">
        <f t="shared" si="42"/>
        <v>7.9521961284948733E-2</v>
      </c>
      <c r="N97" s="19">
        <f t="shared" si="43"/>
        <v>4.9207120916110729E-2</v>
      </c>
      <c r="O97" s="19">
        <f t="shared" si="30"/>
        <v>2.2869789990942468E-7</v>
      </c>
      <c r="P97" s="21">
        <f t="shared" si="31"/>
        <v>39.261471429852435</v>
      </c>
      <c r="Q97" s="9">
        <f t="shared" si="44"/>
        <v>0.4324545937475141</v>
      </c>
      <c r="R97" s="9">
        <f t="shared" si="32"/>
        <v>6.2658974959579758</v>
      </c>
      <c r="S97" s="6">
        <f t="shared" si="45"/>
        <v>2.4827638547237071E-2</v>
      </c>
      <c r="T97" s="6">
        <f t="shared" si="33"/>
        <v>2.3689376834087998E-2</v>
      </c>
      <c r="U97" s="6">
        <f t="shared" si="34"/>
        <v>0.52642629567501542</v>
      </c>
      <c r="V97" s="6">
        <f t="shared" si="35"/>
        <v>8.7119406020215364E-3</v>
      </c>
      <c r="W97" s="6">
        <f t="shared" si="36"/>
        <v>-2.120343063487664E-2</v>
      </c>
      <c r="X97" s="6">
        <f t="shared" si="37"/>
        <v>-1.2491490032855221E-2</v>
      </c>
      <c r="Y97">
        <f t="shared" si="38"/>
        <v>0.87074007026482536</v>
      </c>
      <c r="AA97" s="43">
        <f t="shared" si="46"/>
        <v>91</v>
      </c>
      <c r="AB97" s="6">
        <f t="shared" si="47"/>
        <v>0.9983569507737029</v>
      </c>
      <c r="AC97" s="6">
        <f>VLOOKUP($C97,'hours (1)'!$A$19:$P$103,16)</f>
        <v>0.16005690514757984</v>
      </c>
      <c r="AD97" s="6">
        <f t="shared" si="48"/>
        <v>0.99903118707339178</v>
      </c>
    </row>
    <row r="98" spans="1:30" x14ac:dyDescent="0.25">
      <c r="A98" s="39">
        <f>'hours (1)'!$A98*'hours (1)'!$B98/'hours (1)'!$A$105</f>
        <v>1.3983102524572018E-4</v>
      </c>
      <c r="B98" s="9">
        <f>'hours (1)'!$E98</f>
        <v>89.194425019587612</v>
      </c>
      <c r="C98" s="26">
        <f>'hours (1)'!$A98</f>
        <v>91</v>
      </c>
      <c r="D98" s="25">
        <f t="shared" si="25"/>
        <v>0.43686793000681096</v>
      </c>
      <c r="E98" s="25">
        <f t="shared" si="39"/>
        <v>2.3003494608834119E-3</v>
      </c>
      <c r="F98" s="25">
        <f t="shared" si="26"/>
        <v>2.0164485397775834E-3</v>
      </c>
      <c r="G98" s="30">
        <f t="shared" si="40"/>
        <v>1.0202154738266693E-5</v>
      </c>
      <c r="H98" s="9">
        <f>'hours (1)'!$K98</f>
        <v>91.787499999999994</v>
      </c>
      <c r="I98" s="7">
        <f t="shared" si="27"/>
        <v>4.2</v>
      </c>
      <c r="J98" s="9">
        <f t="shared" si="28"/>
        <v>0.1146303397014628</v>
      </c>
      <c r="K98" s="18">
        <f t="shared" si="41"/>
        <v>2.8834207689124687E-3</v>
      </c>
      <c r="L98" s="19">
        <f t="shared" si="29"/>
        <v>-3.1820451790317977E-3</v>
      </c>
      <c r="M98" s="19">
        <f t="shared" si="42"/>
        <v>7.9592780847047503E-2</v>
      </c>
      <c r="N98" s="19">
        <f t="shared" si="43"/>
        <v>4.9273310144577871E-2</v>
      </c>
      <c r="O98" s="19">
        <f t="shared" si="30"/>
        <v>2.4452779150141435E-7</v>
      </c>
      <c r="P98" s="21">
        <f t="shared" si="31"/>
        <v>39.272163952878437</v>
      </c>
      <c r="Q98" s="9">
        <f t="shared" si="44"/>
        <v>0.42785961000003747</v>
      </c>
      <c r="R98" s="9">
        <f t="shared" si="32"/>
        <v>6.2667506694361501</v>
      </c>
      <c r="S98" s="6">
        <f t="shared" si="45"/>
        <v>2.4824258441046233E-2</v>
      </c>
      <c r="T98" s="6">
        <f t="shared" si="33"/>
        <v>2.3698397781560774E-2</v>
      </c>
      <c r="U98" s="6">
        <f t="shared" si="34"/>
        <v>0.52610214775307251</v>
      </c>
      <c r="V98" s="6">
        <f t="shared" si="35"/>
        <v>8.6166162608787965E-3</v>
      </c>
      <c r="W98" s="6">
        <f t="shared" si="36"/>
        <v>-2.0835801999148366E-2</v>
      </c>
      <c r="X98" s="6">
        <f t="shared" si="37"/>
        <v>-1.2219185738269515E-2</v>
      </c>
      <c r="Y98">
        <f t="shared" si="38"/>
        <v>0.87172905570721526</v>
      </c>
      <c r="AA98" s="43">
        <f t="shared" si="46"/>
        <v>92</v>
      </c>
      <c r="AB98" s="6">
        <f t="shared" si="47"/>
        <v>0.99841913355813061</v>
      </c>
      <c r="AC98" s="6">
        <f>VLOOKUP($C98,'hours (1)'!$A$19:$P$103,16)</f>
        <v>7.1411137265055727E-2</v>
      </c>
      <c r="AD98" s="6">
        <f t="shared" si="48"/>
        <v>0.9990406282183798</v>
      </c>
    </row>
    <row r="99" spans="1:30" x14ac:dyDescent="0.25">
      <c r="A99" s="39">
        <f>'hours (1)'!$A99*'hours (1)'!$B99/'hours (1)'!$A$105</f>
        <v>3.1913045983324432E-5</v>
      </c>
      <c r="B99" s="9">
        <f>'hours (1)'!$E99</f>
        <v>92.194425019587612</v>
      </c>
      <c r="C99" s="26">
        <f>'hours (1)'!$A99</f>
        <v>94</v>
      </c>
      <c r="D99" s="25">
        <f t="shared" si="25"/>
        <v>0.42292533649595526</v>
      </c>
      <c r="E99" s="25">
        <f t="shared" si="39"/>
        <v>2.2263058464085592E-3</v>
      </c>
      <c r="F99" s="25">
        <f t="shared" si="26"/>
        <v>1.9514655929975982E-3</v>
      </c>
      <c r="G99" s="30">
        <f t="shared" si="40"/>
        <v>1.0241501980482058E-5</v>
      </c>
      <c r="H99" s="9">
        <f>'hours (1)'!$K99</f>
        <v>94.787499999999994</v>
      </c>
      <c r="I99" s="7">
        <f t="shared" si="27"/>
        <v>4.2</v>
      </c>
      <c r="J99" s="9">
        <f t="shared" si="28"/>
        <v>0.11095152583060515</v>
      </c>
      <c r="K99" s="18">
        <f t="shared" si="41"/>
        <v>2.7908835894203724E-3</v>
      </c>
      <c r="L99" s="19">
        <f t="shared" si="29"/>
        <v>-3.389831793145115E-3</v>
      </c>
      <c r="M99" s="19">
        <f t="shared" si="42"/>
        <v>7.9796093108052385E-2</v>
      </c>
      <c r="N99" s="19">
        <f t="shared" si="43"/>
        <v>4.9463345379168008E-2</v>
      </c>
      <c r="O99" s="19">
        <f t="shared" si="30"/>
        <v>2.9388887680392717E-7</v>
      </c>
      <c r="P99" s="21">
        <f t="shared" si="31"/>
        <v>39.302750393612342</v>
      </c>
      <c r="Q99" s="9">
        <f t="shared" si="44"/>
        <v>0.41464064769734771</v>
      </c>
      <c r="R99" s="9">
        <f t="shared" si="32"/>
        <v>6.2691905692531265</v>
      </c>
      <c r="S99" s="6">
        <f t="shared" si="45"/>
        <v>2.481459711348603E-2</v>
      </c>
      <c r="T99" s="6">
        <f t="shared" si="33"/>
        <v>2.3724369654353535E-2</v>
      </c>
      <c r="U99" s="6">
        <f t="shared" si="34"/>
        <v>0.52517560195000501</v>
      </c>
      <c r="V99" s="6">
        <f t="shared" si="35"/>
        <v>8.3427617570499459E-3</v>
      </c>
      <c r="W99" s="6">
        <f t="shared" si="36"/>
        <v>-1.9783418049040515E-2</v>
      </c>
      <c r="X99" s="6">
        <f t="shared" si="37"/>
        <v>-1.1440656291990552E-2</v>
      </c>
      <c r="Y99">
        <f t="shared" si="38"/>
        <v>0.87457193033033187</v>
      </c>
      <c r="AA99" s="43">
        <f t="shared" si="46"/>
        <v>95</v>
      </c>
      <c r="AB99" s="6">
        <f t="shared" si="47"/>
        <v>0.99843288681214926</v>
      </c>
      <c r="AC99" s="6">
        <f>VLOOKUP($C99,'hours (1)'!$A$19:$P$103,16)</f>
        <v>1</v>
      </c>
      <c r="AD99" s="6">
        <f t="shared" si="48"/>
        <v>0.99906986933931641</v>
      </c>
    </row>
    <row r="100" spans="1:30" x14ac:dyDescent="0.25">
      <c r="A100" s="39">
        <f>'hours (1)'!$A100*'hours (1)'!$B100/'hours (1)'!$A$105</f>
        <v>8.4377078426558727E-5</v>
      </c>
      <c r="B100" s="9">
        <f>'hours (1)'!$E100</f>
        <v>93.194425019587612</v>
      </c>
      <c r="C100" s="26">
        <f>'hours (1)'!$A100</f>
        <v>95</v>
      </c>
      <c r="D100" s="25">
        <f t="shared" si="25"/>
        <v>0.41847349084862945</v>
      </c>
      <c r="E100" s="25">
        <f t="shared" si="39"/>
        <v>2.2026726868386672E-3</v>
      </c>
      <c r="F100" s="25">
        <f t="shared" si="26"/>
        <v>1.930725488726769E-3</v>
      </c>
      <c r="G100" s="30">
        <f t="shared" si="40"/>
        <v>1.0254060135301956E-5</v>
      </c>
      <c r="H100" s="9">
        <f>'hours (1)'!$K100</f>
        <v>95.787499999999994</v>
      </c>
      <c r="I100" s="7">
        <f t="shared" si="27"/>
        <v>4.2</v>
      </c>
      <c r="J100" s="9">
        <f t="shared" si="28"/>
        <v>0.10977717512202965</v>
      </c>
      <c r="K100" s="18">
        <f t="shared" si="41"/>
        <v>2.7613438774042312E-3</v>
      </c>
      <c r="L100" s="19">
        <f t="shared" si="29"/>
        <v>-3.4561826706866056E-3</v>
      </c>
      <c r="M100" s="19">
        <f t="shared" si="42"/>
        <v>7.9860977372608888E-2</v>
      </c>
      <c r="N100" s="19">
        <f t="shared" si="43"/>
        <v>4.9523997454455945E-2</v>
      </c>
      <c r="O100" s="19">
        <f t="shared" si="30"/>
        <v>3.1090149542334355E-7</v>
      </c>
      <c r="P100" s="21">
        <f t="shared" si="31"/>
        <v>39.312477397539034</v>
      </c>
      <c r="Q100" s="9">
        <f t="shared" si="44"/>
        <v>0.41041344014134451</v>
      </c>
      <c r="R100" s="9">
        <f t="shared" si="32"/>
        <v>6.2699662995536931</v>
      </c>
      <c r="S100" s="6">
        <f t="shared" si="45"/>
        <v>2.4811527011677246E-2</v>
      </c>
      <c r="T100" s="6">
        <f t="shared" si="33"/>
        <v>2.3732681282510899E-2</v>
      </c>
      <c r="U100" s="6">
        <f t="shared" si="34"/>
        <v>0.5248811626969262</v>
      </c>
      <c r="V100" s="6">
        <f t="shared" si="35"/>
        <v>8.255304695981857E-3</v>
      </c>
      <c r="W100" s="6">
        <f t="shared" si="36"/>
        <v>-1.9448502467539937E-2</v>
      </c>
      <c r="X100" s="6">
        <f t="shared" si="37"/>
        <v>-1.1193197771558158E-2</v>
      </c>
      <c r="Y100">
        <f t="shared" si="38"/>
        <v>0.87548032821189481</v>
      </c>
      <c r="AA100" s="43">
        <f t="shared" si="46"/>
        <v>96</v>
      </c>
      <c r="AB100" s="6">
        <f t="shared" si="47"/>
        <v>0.99846887926052719</v>
      </c>
      <c r="AC100" s="6">
        <f>VLOOKUP($C100,'hours (1)'!$A$19:$P$103,16)</f>
        <v>0.61093299067674678</v>
      </c>
      <c r="AD100" s="6">
        <f t="shared" si="48"/>
        <v>0.99911662062093454</v>
      </c>
    </row>
    <row r="101" spans="1:30" x14ac:dyDescent="0.25">
      <c r="A101" s="39">
        <f>'hours (1)'!$A101*'hours (1)'!$B101/'hours (1)'!$A$105</f>
        <v>3.8131501811645247E-4</v>
      </c>
      <c r="B101" s="9">
        <f>'hours (1)'!$E101</f>
        <v>94.194425019587612</v>
      </c>
      <c r="C101" s="26">
        <f>'hours (1)'!$A101</f>
        <v>96</v>
      </c>
      <c r="D101" s="25">
        <f t="shared" si="25"/>
        <v>0.41411439198562289</v>
      </c>
      <c r="E101" s="25">
        <f t="shared" si="39"/>
        <v>2.1795360264171377E-3</v>
      </c>
      <c r="F101" s="25">
        <f t="shared" si="26"/>
        <v>1.9104216116189049E-3</v>
      </c>
      <c r="G101" s="30">
        <f t="shared" si="40"/>
        <v>1.02663541541186E-5</v>
      </c>
      <c r="H101" s="9">
        <f>'hours (1)'!$K101</f>
        <v>96.787499999999994</v>
      </c>
      <c r="I101" s="7">
        <f t="shared" si="27"/>
        <v>4.2</v>
      </c>
      <c r="J101" s="9">
        <f t="shared" si="28"/>
        <v>0.10862742505667189</v>
      </c>
      <c r="K101" s="18">
        <f t="shared" si="41"/>
        <v>2.7324229719428586E-3</v>
      </c>
      <c r="L101" s="19">
        <f t="shared" si="29"/>
        <v>-3.5211535752247836E-3</v>
      </c>
      <c r="M101" s="19">
        <f t="shared" si="42"/>
        <v>7.9924494421717646E-2</v>
      </c>
      <c r="N101" s="19">
        <f t="shared" si="43"/>
        <v>4.9583373833036411E-2</v>
      </c>
      <c r="O101" s="19">
        <f t="shared" si="30"/>
        <v>3.2816286996140143E-7</v>
      </c>
      <c r="P101" s="21">
        <f t="shared" si="31"/>
        <v>39.321983472169151</v>
      </c>
      <c r="Q101" s="9">
        <f t="shared" si="44"/>
        <v>0.40627130024196467</v>
      </c>
      <c r="R101" s="9">
        <f t="shared" si="32"/>
        <v>6.2707243179850565</v>
      </c>
      <c r="S101" s="6">
        <f t="shared" si="45"/>
        <v>2.4808527741763373E-2</v>
      </c>
      <c r="T101" s="6">
        <f t="shared" si="33"/>
        <v>2.374082855248251E-2</v>
      </c>
      <c r="U101" s="6">
        <f t="shared" si="34"/>
        <v>0.52459351376892582</v>
      </c>
      <c r="V101" s="6">
        <f t="shared" si="35"/>
        <v>8.1696622450055743E-3</v>
      </c>
      <c r="W101" s="6">
        <f t="shared" si="36"/>
        <v>-1.9121081168682399E-2</v>
      </c>
      <c r="X101" s="6">
        <f t="shared" si="37"/>
        <v>-1.0951418923676742E-2</v>
      </c>
      <c r="Y101">
        <f t="shared" si="38"/>
        <v>0.8763701142379634</v>
      </c>
      <c r="AA101" s="43">
        <f t="shared" si="46"/>
        <v>97</v>
      </c>
      <c r="AB101" s="6">
        <f t="shared" si="47"/>
        <v>0.99862989390836665</v>
      </c>
      <c r="AC101" s="6">
        <f>VLOOKUP($C101,'hours (1)'!$A$19:$P$103,16)</f>
        <v>0.16278583426161031</v>
      </c>
      <c r="AD101" s="6">
        <f t="shared" si="48"/>
        <v>0.99917234824773205</v>
      </c>
    </row>
    <row r="102" spans="1:30" x14ac:dyDescent="0.25">
      <c r="A102" s="39">
        <f>'hours (1)'!$A102*'hours (1)'!$B102/'hours (1)'!$A$105</f>
        <v>1.3602345797954579E-4</v>
      </c>
      <c r="B102" s="9">
        <f>'hours (1)'!$E102</f>
        <v>96.194425019587612</v>
      </c>
      <c r="C102" s="26">
        <f>'hours (1)'!$A102</f>
        <v>98</v>
      </c>
      <c r="D102" s="25">
        <f t="shared" si="25"/>
        <v>0.40566307786346728</v>
      </c>
      <c r="E102" s="25">
        <f t="shared" si="39"/>
        <v>2.1346909041957346E-3</v>
      </c>
      <c r="F102" s="25">
        <f t="shared" si="26"/>
        <v>1.8710686203117519E-3</v>
      </c>
      <c r="G102" s="30">
        <f t="shared" si="40"/>
        <v>1.0290182431498881E-5</v>
      </c>
      <c r="H102" s="9">
        <f>'hours (1)'!$K102</f>
        <v>98.787499999999994</v>
      </c>
      <c r="I102" s="7">
        <f t="shared" si="27"/>
        <v>4.2</v>
      </c>
      <c r="J102" s="9">
        <f t="shared" si="28"/>
        <v>0.10639869807220977</v>
      </c>
      <c r="K102" s="18">
        <f t="shared" si="41"/>
        <v>2.6763613944235892E-3</v>
      </c>
      <c r="L102" s="19">
        <f t="shared" si="29"/>
        <v>-3.6471241676844096E-3</v>
      </c>
      <c r="M102" s="19">
        <f t="shared" si="42"/>
        <v>8.0047596163761614E-2</v>
      </c>
      <c r="N102" s="19">
        <f t="shared" si="43"/>
        <v>4.969845717882862E-2</v>
      </c>
      <c r="O102" s="19">
        <f t="shared" si="30"/>
        <v>3.6336304705397726E-7</v>
      </c>
      <c r="P102" s="21">
        <f t="shared" si="31"/>
        <v>39.340362289308672</v>
      </c>
      <c r="Q102" s="9">
        <f t="shared" si="44"/>
        <v>0.39823218817470502</v>
      </c>
      <c r="R102" s="9">
        <f t="shared" si="32"/>
        <v>6.2721895929020413</v>
      </c>
      <c r="S102" s="6">
        <f t="shared" si="45"/>
        <v>2.4802732108055416E-2</v>
      </c>
      <c r="T102" s="6">
        <f t="shared" si="33"/>
        <v>2.3756648997514899E-2</v>
      </c>
      <c r="U102" s="6">
        <f t="shared" si="34"/>
        <v>0.52403767055293049</v>
      </c>
      <c r="V102" s="6">
        <f t="shared" si="35"/>
        <v>8.0035998605216523E-3</v>
      </c>
      <c r="W102" s="6">
        <f t="shared" si="36"/>
        <v>-1.8487735046444864E-2</v>
      </c>
      <c r="X102" s="6">
        <f t="shared" si="37"/>
        <v>-1.0484135185923112E-2</v>
      </c>
      <c r="Y102">
        <f t="shared" si="38"/>
        <v>0.87809608675427508</v>
      </c>
      <c r="AA102" s="43">
        <f t="shared" si="46"/>
        <v>99</v>
      </c>
      <c r="AB102" s="6">
        <f t="shared" si="47"/>
        <v>0.99868619482990906</v>
      </c>
      <c r="AC102" s="6">
        <f>VLOOKUP($C102,'hours (1)'!$A$19:$P$103,16)</f>
        <v>0.31030432072726227</v>
      </c>
      <c r="AD102" s="6">
        <f t="shared" si="48"/>
        <v>0.99920949252212732</v>
      </c>
    </row>
    <row r="103" spans="1:30" x14ac:dyDescent="0.25">
      <c r="A103" s="39">
        <f>'hours (1)'!$A103*'hours (1)'!$B103/'hours (1)'!$A$105</f>
        <v>3.2055704739297011E-3</v>
      </c>
      <c r="B103" s="9">
        <f>'hours (1)'!$E103</f>
        <v>97.194425019587612</v>
      </c>
      <c r="C103" s="26">
        <f>'hours (1)'!$A103</f>
        <v>99</v>
      </c>
      <c r="D103" s="25">
        <f t="shared" ref="D103" si="49">$B$15/$C103</f>
        <v>0.40156547101636159</v>
      </c>
      <c r="E103" s="25">
        <f t="shared" ref="E103" si="50">(($B$4*$B$9+$B$11)/$C103+($B103/$C103-1+LN($C103/$B103))/$B$5)*$B$8</f>
        <v>2.1129533536641612E-3</v>
      </c>
      <c r="F103" s="25">
        <f t="shared" ref="F103" si="51">(((1-$B$16)*$B$4*$B$9+$B$11)/$C103+($B103/$C103-1+LN($C103/$B103))/$B$5)*$B$8</f>
        <v>1.8519939211325417E-3</v>
      </c>
      <c r="G103" s="30">
        <f t="shared" ref="G103" si="52">((1-$B$16)*$B$8-$F103)*$F$5/($F$14*$B$15^(1/$B$6))</f>
        <v>1.0301732181794613E-5</v>
      </c>
      <c r="H103" s="9">
        <f>'hours (1)'!$K103</f>
        <v>99.787499999999994</v>
      </c>
      <c r="I103" s="7">
        <f t="shared" ref="I103" si="53">IF($H103&gt;$B$14,1,0)*$B$13</f>
        <v>4.2</v>
      </c>
      <c r="J103" s="9">
        <f t="shared" ref="J103" si="54">(1-$B$16-$B$12)*($B$4*$B$9+$I103)/$H103+$B$11/$H103+($B103/$H103-1+LN($H103/$B103))/$B$5</f>
        <v>0.10531828366395336</v>
      </c>
      <c r="K103" s="18">
        <f t="shared" ref="K103" si="55">J103*$B$8</f>
        <v>2.6491845636481409E-3</v>
      </c>
      <c r="L103" s="19">
        <f t="shared" ref="L103" si="56">$G103*($L$17^(($B$7+$B$6)/$B$6))+($K103*$L$17)-(1-$B$16-$B$12)*$B$8*(($F$4/$B$8)^(1/$B$7))</f>
        <v>-3.7082039533276739E-3</v>
      </c>
      <c r="M103" s="19">
        <f t="shared" ref="M103" si="57">$G103*($B$7+$B$6)*($L$17^($B$7/$B$6))/$B$6+$K103</f>
        <v>8.0107261179338946E-2</v>
      </c>
      <c r="N103" s="19">
        <f t="shared" ref="N103" si="58">$G103*($B$7+$B$6)*$B$7*($L$17^($B$7/$B$6-1))/($B$6^2)</f>
        <v>4.9754238966403304E-2</v>
      </c>
      <c r="O103" s="19">
        <f t="shared" ref="O103" si="59">$G103*(P103^(1/$B$7+1/$B$6))+($K103*P103^(1/$B$7))-(1-$B$16-$B$12)*$B$8*(($F$4/$B$8)^(1/$B$7))</f>
        <v>3.8126913812219776E-7</v>
      </c>
      <c r="P103" s="21">
        <f t="shared" ref="P103" si="60">($L$17-(M103/N103)*(1-SQRT(1-2*L103*N103/(M103^2))))^$B$7</f>
        <v>39.349248950129606</v>
      </c>
      <c r="Q103" s="9">
        <f t="shared" ref="Q103" si="61">$P103/$H103</f>
        <v>0.39433044168988712</v>
      </c>
      <c r="R103" s="9">
        <f t="shared" ref="R103" si="62">$P103^(($B$7-1)/$B$7)</f>
        <v>6.2728979706455936</v>
      </c>
      <c r="S103" s="6">
        <f t="shared" ref="S103" si="63">$B$8*($G$4/($B$8*$P103))^(1/$B$7)</f>
        <v>2.4799931217065821E-2</v>
      </c>
      <c r="T103" s="6">
        <f t="shared" ref="T103" si="64">S103-($B$4*$B$9*$B$8/$H103)</f>
        <v>2.3764331214234592E-2</v>
      </c>
      <c r="U103" s="6">
        <f t="shared" ref="U103" si="65">$B$6*T103/(T103-$B$8*$B$11/$H103-($B103/$H103-1+LN($H103/$B103))*$B$8/$B$5)</f>
        <v>0.5237690435198582</v>
      </c>
      <c r="V103" s="6">
        <f t="shared" ref="V103" si="66">LN(H103/C103)</f>
        <v>7.9230748373272063E-3</v>
      </c>
      <c r="W103" s="6">
        <f t="shared" ref="W103" si="67">LN(Q103/D103)</f>
        <v>-1.8181343845523997E-2</v>
      </c>
      <c r="X103" s="6">
        <f t="shared" ref="X103" si="68">LN(P103/$B$15)</f>
        <v>-1.0258269008196732E-2</v>
      </c>
      <c r="Y103">
        <f t="shared" ref="Y103" si="69">$G$4-($B$4*$B$9+$B$11+($B103-$H103+$H103*LN($H103/$B103))/$B$5)*$B$8*$Q103</f>
        <v>0.87893333601574941</v>
      </c>
      <c r="AA103" s="43">
        <f t="shared" ref="AA103" si="70">ROUND($H103,0)</f>
        <v>100</v>
      </c>
      <c r="AB103" s="6">
        <f t="shared" si="47"/>
        <v>1</v>
      </c>
      <c r="AC103" s="6">
        <f>VLOOKUP($C103,'hours (1)'!$A$19:$P$103,16)</f>
        <v>0.28300001813675729</v>
      </c>
      <c r="AD103" s="6">
        <f t="shared" si="48"/>
        <v>1.0000000000000009</v>
      </c>
    </row>
    <row r="105" spans="1:30" x14ac:dyDescent="0.25">
      <c r="A105" s="39">
        <f>SUM(A19:A103)</f>
        <v>1</v>
      </c>
    </row>
  </sheetData>
  <mergeCells count="5">
    <mergeCell ref="H15:X15"/>
    <mergeCell ref="G14:J14"/>
    <mergeCell ref="Y17:Z17"/>
    <mergeCell ref="C15:G15"/>
    <mergeCell ref="E17:F17"/>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5"/>
  <sheetViews>
    <sheetView zoomScale="125" zoomScaleNormal="125" zoomScalePageLayoutView="125" workbookViewId="0"/>
  </sheetViews>
  <sheetFormatPr defaultColWidth="11" defaultRowHeight="15.75" x14ac:dyDescent="0.25"/>
  <cols>
    <col min="1" max="1" width="32.375" bestFit="1" customWidth="1"/>
    <col min="2" max="2" width="11.375" customWidth="1"/>
    <col min="5" max="7" width="7.125" customWidth="1"/>
  </cols>
  <sheetData>
    <row r="1" spans="1:14" x14ac:dyDescent="0.25">
      <c r="A1" s="5" t="str">
        <f>"Desired hours: "&amp;VLOOKUP($C$1,ParametersTax!$B$16:$G$20,6)&amp;" group"</f>
        <v>Desired hours: Subsidy slide, no penalty group</v>
      </c>
      <c r="C1" s="2">
        <v>2</v>
      </c>
    </row>
    <row r="3" spans="1:14" x14ac:dyDescent="0.25">
      <c r="A3" s="1" t="s">
        <v>0</v>
      </c>
    </row>
    <row r="4" spans="1:14" x14ac:dyDescent="0.25">
      <c r="A4" t="s">
        <v>2</v>
      </c>
      <c r="B4" s="9">
        <f>ParametersOther!$B$4</f>
        <v>9.4905032911790893E-2</v>
      </c>
    </row>
    <row r="5" spans="1:14" x14ac:dyDescent="0.25">
      <c r="A5" t="s">
        <v>1</v>
      </c>
      <c r="B5" s="9">
        <f>ParametersOther!$B$5</f>
        <v>0.25</v>
      </c>
    </row>
    <row r="6" spans="1:14" x14ac:dyDescent="0.25">
      <c r="A6" t="s">
        <v>27</v>
      </c>
      <c r="B6" s="9">
        <f>ParametersOther!B6</f>
        <v>0.5</v>
      </c>
    </row>
    <row r="7" spans="1:14" x14ac:dyDescent="0.25">
      <c r="B7" s="7"/>
    </row>
    <row r="8" spans="1:14" x14ac:dyDescent="0.25">
      <c r="B8" s="9"/>
    </row>
    <row r="9" spans="1:14" x14ac:dyDescent="0.25">
      <c r="A9" t="s">
        <v>3</v>
      </c>
      <c r="B9" s="7">
        <f>SUMPRODUCT($A$46:$A$103,$B$46:$B$103)/SUM($B$46:$B$103)</f>
        <v>43.288296761716524</v>
      </c>
    </row>
    <row r="10" spans="1:14" x14ac:dyDescent="0.25">
      <c r="A10" t="s">
        <v>17</v>
      </c>
      <c r="B10" s="7">
        <f>SUMPRODUCT($A$19:$A$45,$B$19:$B$45)/SUM($B$19:$B$45)</f>
        <v>22.693124757509004</v>
      </c>
    </row>
    <row r="11" spans="1:14" x14ac:dyDescent="0.25">
      <c r="A11" t="s">
        <v>6</v>
      </c>
      <c r="B11" s="7">
        <f>ParametersOther!B16</f>
        <v>4.1410920000000004</v>
      </c>
    </row>
    <row r="12" spans="1:14" x14ac:dyDescent="0.25">
      <c r="A12" t="s">
        <v>67</v>
      </c>
      <c r="B12" s="14">
        <f>VLOOKUP($C$1,ParametersTax!$B$16:$E$20,3)</f>
        <v>0.23419152674892524</v>
      </c>
    </row>
    <row r="13" spans="1:14" x14ac:dyDescent="0.25">
      <c r="A13" t="s">
        <v>39</v>
      </c>
      <c r="B13" s="7">
        <f>VLOOKUP($C$1,ParametersTax!$B$16:$E$20,2)</f>
        <v>0</v>
      </c>
    </row>
    <row r="14" spans="1:14" x14ac:dyDescent="0.25">
      <c r="A14" t="s">
        <v>9</v>
      </c>
      <c r="B14" s="7">
        <f>ParametersOther!$B$11</f>
        <v>29</v>
      </c>
    </row>
    <row r="15" spans="1:14" x14ac:dyDescent="0.25">
      <c r="A15" t="s">
        <v>13</v>
      </c>
      <c r="B15" s="7">
        <f>ParametersOther!B17</f>
        <v>34.999000000000002</v>
      </c>
    </row>
    <row r="16" spans="1:14" x14ac:dyDescent="0.25">
      <c r="A16" t="s">
        <v>68</v>
      </c>
      <c r="B16" s="14">
        <f>ParametersOther!$B$21</f>
        <v>0.25</v>
      </c>
      <c r="N16" s="6">
        <f>SUMPRODUCT(N$19:N$103,$O$19:$O$103)/$B$105</f>
        <v>0.78945509619903376</v>
      </c>
    </row>
    <row r="17" spans="1:15" x14ac:dyDescent="0.25">
      <c r="C17" t="s">
        <v>21</v>
      </c>
      <c r="F17" s="95" t="s">
        <v>70</v>
      </c>
      <c r="G17" s="95"/>
      <c r="H17" s="95" t="s">
        <v>41</v>
      </c>
      <c r="I17" s="95"/>
      <c r="M17" s="6">
        <f>SUMPRODUCT(M$19:M$103,$B$19:$B$103)/$B$105</f>
        <v>0.82843963962161182</v>
      </c>
      <c r="N17" s="6">
        <f>SUMPRODUCT(N$19:N$103,$B$19:$B$103)/$B$105</f>
        <v>0.78501320235329231</v>
      </c>
    </row>
    <row r="18" spans="1:15" x14ac:dyDescent="0.25">
      <c r="A18" s="10" t="s">
        <v>4</v>
      </c>
      <c r="B18" s="1" t="s">
        <v>5</v>
      </c>
      <c r="C18" s="10" t="s">
        <v>22</v>
      </c>
      <c r="D18" s="10" t="s">
        <v>23</v>
      </c>
      <c r="E18" s="10" t="s">
        <v>8</v>
      </c>
      <c r="F18" s="10" t="s">
        <v>71</v>
      </c>
      <c r="G18" s="10" t="s">
        <v>72</v>
      </c>
      <c r="H18" s="10" t="s">
        <v>73</v>
      </c>
      <c r="I18" s="10" t="s">
        <v>10</v>
      </c>
      <c r="J18" s="10" t="s">
        <v>74</v>
      </c>
      <c r="K18" s="10" t="s">
        <v>11</v>
      </c>
      <c r="L18" s="11" t="s">
        <v>12</v>
      </c>
      <c r="M18" s="10" t="s">
        <v>15</v>
      </c>
      <c r="N18" s="10" t="s">
        <v>14</v>
      </c>
      <c r="O18" s="11" t="s">
        <v>16</v>
      </c>
    </row>
    <row r="19" spans="1:15" x14ac:dyDescent="0.25">
      <c r="A19">
        <f>'hours (1)'!A19</f>
        <v>8</v>
      </c>
      <c r="B19">
        <f>'hours (1)'!B19</f>
        <v>576349.6</v>
      </c>
      <c r="C19" s="6">
        <f>B19/$B$105</f>
        <v>4.231363238139366E-3</v>
      </c>
      <c r="D19" s="6">
        <v>0</v>
      </c>
      <c r="E19" s="9">
        <f>$A19-$B$5*((1-$B$16)*$B$4*$B$9+$B$11)</f>
        <v>6.1944250195876105</v>
      </c>
      <c r="F19" s="7">
        <f t="shared" ref="F19:F50" si="0">$A19-$B$5*$B$12*$B$4*$B$9</f>
        <v>7.7594690708660021</v>
      </c>
      <c r="G19" s="7">
        <f>F19+$B$5*$B$13*(1-$B$16-$B$12)</f>
        <v>7.7594690708660021</v>
      </c>
      <c r="H19" s="7">
        <f>($E19/G19-1+LN(G19/$E19))/$B$5+($B$13+$B$4*$B$9)*(1-$B$16-$B$12)/G19+$B$11/G19</f>
        <v>0.90105686401544782</v>
      </c>
      <c r="I19" s="7">
        <f>($E19/$B$14-1+LN($B$14/$E19))/$B$5+$B$4*$B$9*(1-$B$16-$B$12)/$B$14+$B$11/$B$14</f>
        <v>3.2448561273363552</v>
      </c>
      <c r="J19" t="b">
        <f t="shared" ref="J19:J50" si="1">F19&lt;=$B$14</f>
        <v>1</v>
      </c>
      <c r="K19" s="7">
        <f t="shared" ref="K19:K50" si="2">IF(J19,F19,IF(H19&lt;I19,G19,$B$14))</f>
        <v>7.7594690708660021</v>
      </c>
      <c r="L19" s="7">
        <f>K19-$A19</f>
        <v>-0.24053092913399787</v>
      </c>
      <c r="M19">
        <f t="shared" ref="M19:M50" si="3">IF($A19&gt;$B$15,1,0)</f>
        <v>0</v>
      </c>
      <c r="N19">
        <f t="shared" ref="N19:N50" si="4">IF($K19&gt;$B$15,1,0)</f>
        <v>0</v>
      </c>
      <c r="O19" s="3">
        <f>$B19*$A19/$K19</f>
        <v>594215.50081459479</v>
      </c>
    </row>
    <row r="20" spans="1:15" x14ac:dyDescent="0.25">
      <c r="A20">
        <f>'hours (1)'!A20</f>
        <v>9</v>
      </c>
      <c r="B20">
        <f>'hours (1)'!B20</f>
        <v>69603.850000000006</v>
      </c>
      <c r="C20" s="6">
        <f t="shared" ref="C20:C83" si="5">B20/$B$105+C19</f>
        <v>4.7423710919193753E-3</v>
      </c>
      <c r="D20" s="6">
        <f>$A19*$B19/$A$105+D19</f>
        <v>8.5148840514222583E-4</v>
      </c>
      <c r="E20" s="9">
        <f t="shared" ref="E20:E83" si="6">$A20-$B$5*((1-$B$16)*$B$4*$B$9+$B$11)</f>
        <v>7.1944250195876105</v>
      </c>
      <c r="F20" s="7">
        <f t="shared" si="0"/>
        <v>8.7594690708660021</v>
      </c>
      <c r="G20" s="7">
        <f t="shared" ref="G20:G83" si="7">F20+$B$5*$B$13*(1-$B$16-$B$12)</f>
        <v>8.7594690708660021</v>
      </c>
      <c r="H20" s="7">
        <f t="shared" ref="H20:H83" si="8">($E20/G20-1+LN(G20/$E20))/$B$5+($B$13+$B$4*$B$9)*(1-$B$16-$B$12)/G20+$B$11/G20</f>
        <v>0.78731548601291079</v>
      </c>
      <c r="I20" s="7">
        <f t="shared" ref="I20:I83" si="9">($E20/$B$14-1+LN($B$14/$E20))/$B$5+$B$4*$B$9*(1-$B$16-$B$12)/$B$14+$B$11/$B$14</f>
        <v>2.7841602573714428</v>
      </c>
      <c r="J20" t="b">
        <f t="shared" si="1"/>
        <v>1</v>
      </c>
      <c r="K20" s="7">
        <f t="shared" si="2"/>
        <v>8.7594690708660021</v>
      </c>
      <c r="L20" s="7">
        <f t="shared" ref="L20:L83" si="10">K20-$A20</f>
        <v>-0.24053092913399787</v>
      </c>
      <c r="M20">
        <f t="shared" si="3"/>
        <v>0</v>
      </c>
      <c r="N20">
        <f t="shared" si="4"/>
        <v>0</v>
      </c>
      <c r="O20" s="3">
        <f t="shared" ref="O20:O83" si="11">$B20*$A20/$K20</f>
        <v>71515.139209010042</v>
      </c>
    </row>
    <row r="21" spans="1:15" x14ac:dyDescent="0.25">
      <c r="A21">
        <f>'hours (1)'!A21</f>
        <v>10</v>
      </c>
      <c r="B21">
        <f>'hours (1)'!B21</f>
        <v>1164544</v>
      </c>
      <c r="C21" s="6">
        <f t="shared" si="5"/>
        <v>1.3292058071481382E-2</v>
      </c>
      <c r="D21" s="6">
        <f t="shared" ref="D21:D84" si="12">$A20*$B20/$A$105+D20</f>
        <v>9.6717379840317549E-4</v>
      </c>
      <c r="E21" s="9">
        <f t="shared" si="6"/>
        <v>8.1944250195876105</v>
      </c>
      <c r="F21" s="7">
        <f t="shared" si="0"/>
        <v>9.7594690708660021</v>
      </c>
      <c r="G21" s="7">
        <f t="shared" si="7"/>
        <v>9.7594690708660021</v>
      </c>
      <c r="H21" s="7">
        <f t="shared" si="8"/>
        <v>0.699135812314438</v>
      </c>
      <c r="I21" s="7">
        <f t="shared" si="9"/>
        <v>2.4015007953333436</v>
      </c>
      <c r="J21" t="b">
        <f t="shared" si="1"/>
        <v>1</v>
      </c>
      <c r="K21" s="7">
        <f t="shared" si="2"/>
        <v>9.7594690708660021</v>
      </c>
      <c r="L21" s="7">
        <f t="shared" si="10"/>
        <v>-0.24053092913399787</v>
      </c>
      <c r="M21">
        <f t="shared" si="3"/>
        <v>0</v>
      </c>
      <c r="N21">
        <f t="shared" si="4"/>
        <v>0</v>
      </c>
      <c r="O21" s="3">
        <f t="shared" si="11"/>
        <v>1193245.2385923334</v>
      </c>
    </row>
    <row r="22" spans="1:15" x14ac:dyDescent="0.25">
      <c r="A22">
        <f>'hours (1)'!A22</f>
        <v>11</v>
      </c>
      <c r="B22">
        <f>'hours (1)'!B22</f>
        <v>32083.200000000001</v>
      </c>
      <c r="C22" s="6">
        <f t="shared" si="5"/>
        <v>1.3527602041741573E-2</v>
      </c>
      <c r="D22" s="6">
        <f t="shared" si="12"/>
        <v>3.1177689260781759E-3</v>
      </c>
      <c r="E22" s="9">
        <f t="shared" si="6"/>
        <v>9.1944250195876105</v>
      </c>
      <c r="F22" s="7">
        <f t="shared" si="0"/>
        <v>10.759469070866002</v>
      </c>
      <c r="G22" s="7">
        <f t="shared" si="7"/>
        <v>10.759469070866002</v>
      </c>
      <c r="H22" s="7">
        <f t="shared" si="8"/>
        <v>0.6287555456577989</v>
      </c>
      <c r="I22" s="7">
        <f t="shared" si="9"/>
        <v>2.0788587223938086</v>
      </c>
      <c r="J22" t="b">
        <f t="shared" si="1"/>
        <v>1</v>
      </c>
      <c r="K22" s="7">
        <f t="shared" si="2"/>
        <v>10.759469070866002</v>
      </c>
      <c r="L22" s="7">
        <f t="shared" si="10"/>
        <v>-0.24053092913399787</v>
      </c>
      <c r="M22">
        <f t="shared" si="3"/>
        <v>0</v>
      </c>
      <c r="N22">
        <f t="shared" si="4"/>
        <v>0</v>
      </c>
      <c r="O22" s="3">
        <f t="shared" si="11"/>
        <v>32800.428875771169</v>
      </c>
    </row>
    <row r="23" spans="1:15" x14ac:dyDescent="0.25">
      <c r="A23">
        <f>'hours (1)'!A23</f>
        <v>12</v>
      </c>
      <c r="B23">
        <f>'hours (1)'!B23</f>
        <v>752013.2</v>
      </c>
      <c r="C23" s="6">
        <f t="shared" si="5"/>
        <v>1.9048627837674366E-2</v>
      </c>
      <c r="D23" s="6">
        <f t="shared" si="12"/>
        <v>3.1829427374242864E-3</v>
      </c>
      <c r="E23" s="9">
        <f t="shared" si="6"/>
        <v>10.19442501958761</v>
      </c>
      <c r="F23" s="7">
        <f t="shared" si="0"/>
        <v>11.759469070866002</v>
      </c>
      <c r="G23" s="7">
        <f t="shared" si="7"/>
        <v>11.759469070866002</v>
      </c>
      <c r="H23" s="7">
        <f t="shared" si="8"/>
        <v>0.57127116102008713</v>
      </c>
      <c r="I23" s="7">
        <f t="shared" si="9"/>
        <v>1.8038150372140598</v>
      </c>
      <c r="J23" t="b">
        <f t="shared" si="1"/>
        <v>1</v>
      </c>
      <c r="K23" s="7">
        <f t="shared" si="2"/>
        <v>11.759469070866002</v>
      </c>
      <c r="L23" s="7">
        <f t="shared" si="10"/>
        <v>-0.24053092913399787</v>
      </c>
      <c r="M23">
        <f t="shared" si="3"/>
        <v>0</v>
      </c>
      <c r="N23">
        <f t="shared" si="4"/>
        <v>0</v>
      </c>
      <c r="O23" s="3">
        <f t="shared" si="11"/>
        <v>767395.05377477326</v>
      </c>
    </row>
    <row r="24" spans="1:15" x14ac:dyDescent="0.25">
      <c r="A24">
        <f>'hours (1)'!A24</f>
        <v>13</v>
      </c>
      <c r="B24">
        <f>'hours (1)'!B24</f>
        <v>107451.2</v>
      </c>
      <c r="C24" s="6">
        <f t="shared" si="5"/>
        <v>1.983749809554209E-2</v>
      </c>
      <c r="D24" s="6">
        <f t="shared" si="12"/>
        <v>4.8494586514994456E-3</v>
      </c>
      <c r="E24" s="9">
        <f t="shared" si="6"/>
        <v>11.19442501958761</v>
      </c>
      <c r="F24" s="7">
        <f t="shared" si="0"/>
        <v>12.759469070866002</v>
      </c>
      <c r="G24" s="7">
        <f t="shared" si="7"/>
        <v>12.759469070866002</v>
      </c>
      <c r="H24" s="7">
        <f t="shared" si="8"/>
        <v>0.52343111967418277</v>
      </c>
      <c r="I24" s="7">
        <f t="shared" si="9"/>
        <v>1.5674465352767089</v>
      </c>
      <c r="J24" t="b">
        <f t="shared" si="1"/>
        <v>1</v>
      </c>
      <c r="K24" s="7">
        <f t="shared" si="2"/>
        <v>12.759469070866002</v>
      </c>
      <c r="L24" s="7">
        <f t="shared" si="10"/>
        <v>-0.24053092913399787</v>
      </c>
      <c r="M24">
        <f t="shared" si="3"/>
        <v>0</v>
      </c>
      <c r="N24">
        <f t="shared" si="4"/>
        <v>0</v>
      </c>
      <c r="O24" s="3">
        <f t="shared" si="11"/>
        <v>109476.78091006906</v>
      </c>
    </row>
    <row r="25" spans="1:15" x14ac:dyDescent="0.25">
      <c r="A25">
        <f>'hours (1)'!A25</f>
        <v>14</v>
      </c>
      <c r="B25">
        <f>'hours (1)'!B25</f>
        <v>133373.20000000001</v>
      </c>
      <c r="C25" s="6">
        <f t="shared" si="5"/>
        <v>2.0816678883440631E-2</v>
      </c>
      <c r="D25" s="6">
        <f t="shared" si="12"/>
        <v>5.107421626996878E-3</v>
      </c>
      <c r="E25" s="9">
        <f t="shared" si="6"/>
        <v>12.19442501958761</v>
      </c>
      <c r="F25" s="7">
        <f t="shared" si="0"/>
        <v>13.759469070866002</v>
      </c>
      <c r="G25" s="7">
        <f t="shared" si="7"/>
        <v>13.759469070866002</v>
      </c>
      <c r="H25" s="7">
        <f t="shared" si="8"/>
        <v>0.48299346041443536</v>
      </c>
      <c r="I25" s="7">
        <f t="shared" si="9"/>
        <v>1.3631255960598205</v>
      </c>
      <c r="J25" t="b">
        <f t="shared" si="1"/>
        <v>1</v>
      </c>
      <c r="K25" s="7">
        <f t="shared" si="2"/>
        <v>13.759469070866002</v>
      </c>
      <c r="L25" s="7">
        <f t="shared" si="10"/>
        <v>-0.24053092913399787</v>
      </c>
      <c r="M25">
        <f t="shared" si="3"/>
        <v>0</v>
      </c>
      <c r="N25">
        <f t="shared" si="4"/>
        <v>0</v>
      </c>
      <c r="O25" s="3">
        <f t="shared" si="11"/>
        <v>135704.71290593772</v>
      </c>
    </row>
    <row r="26" spans="1:15" x14ac:dyDescent="0.25">
      <c r="A26">
        <f>'hours (1)'!A26</f>
        <v>15</v>
      </c>
      <c r="B26">
        <f>'hours (1)'!B26</f>
        <v>1595177</v>
      </c>
      <c r="C26" s="6">
        <f t="shared" si="5"/>
        <v>3.2527927257908908E-2</v>
      </c>
      <c r="D26" s="6">
        <f t="shared" si="12"/>
        <v>5.4522471172448999E-3</v>
      </c>
      <c r="E26" s="9">
        <f t="shared" si="6"/>
        <v>13.19442501958761</v>
      </c>
      <c r="F26" s="7">
        <f t="shared" si="0"/>
        <v>14.759469070866002</v>
      </c>
      <c r="G26" s="7">
        <f t="shared" si="7"/>
        <v>14.759469070866002</v>
      </c>
      <c r="H26" s="7">
        <f t="shared" si="8"/>
        <v>0.44836181735621361</v>
      </c>
      <c r="I26" s="7">
        <f t="shared" si="9"/>
        <v>1.1857945837956378</v>
      </c>
      <c r="J26" t="b">
        <f t="shared" si="1"/>
        <v>1</v>
      </c>
      <c r="K26" s="7">
        <f t="shared" si="2"/>
        <v>14.759469070866002</v>
      </c>
      <c r="L26" s="7">
        <f t="shared" si="10"/>
        <v>-0.24053092913399787</v>
      </c>
      <c r="M26">
        <f t="shared" si="3"/>
        <v>0</v>
      </c>
      <c r="N26">
        <f t="shared" si="4"/>
        <v>0</v>
      </c>
      <c r="O26" s="3">
        <f t="shared" si="11"/>
        <v>1621173.1523074401</v>
      </c>
    </row>
    <row r="27" spans="1:15" x14ac:dyDescent="0.25">
      <c r="A27">
        <f>'hours (1)'!A27</f>
        <v>16</v>
      </c>
      <c r="B27">
        <f>'hours (1)'!B27</f>
        <v>717694.3</v>
      </c>
      <c r="C27" s="6">
        <f t="shared" si="5"/>
        <v>3.7796995332636758E-2</v>
      </c>
      <c r="D27" s="6">
        <f t="shared" si="12"/>
        <v>9.8710323464580828E-3</v>
      </c>
      <c r="E27" s="9">
        <f t="shared" si="6"/>
        <v>14.19442501958761</v>
      </c>
      <c r="F27" s="7">
        <f t="shared" si="0"/>
        <v>15.759469070866002</v>
      </c>
      <c r="G27" s="7">
        <f t="shared" si="7"/>
        <v>15.759469070866002</v>
      </c>
      <c r="H27" s="7">
        <f t="shared" si="8"/>
        <v>0.41836844880738211</v>
      </c>
      <c r="I27" s="7">
        <f t="shared" si="9"/>
        <v>1.0315060587351088</v>
      </c>
      <c r="J27" t="b">
        <f t="shared" si="1"/>
        <v>1</v>
      </c>
      <c r="K27" s="7">
        <f t="shared" si="2"/>
        <v>15.759469070866002</v>
      </c>
      <c r="L27" s="7">
        <f t="shared" si="10"/>
        <v>-0.24053092913399787</v>
      </c>
      <c r="M27">
        <f t="shared" si="3"/>
        <v>0</v>
      </c>
      <c r="N27">
        <f t="shared" si="4"/>
        <v>0</v>
      </c>
      <c r="O27" s="3">
        <f t="shared" si="11"/>
        <v>728648.20181210525</v>
      </c>
    </row>
    <row r="28" spans="1:15" x14ac:dyDescent="0.25">
      <c r="A28">
        <f>'hours (1)'!A28</f>
        <v>17</v>
      </c>
      <c r="B28">
        <f>'hours (1)'!B28</f>
        <v>121287.4</v>
      </c>
      <c r="C28" s="6">
        <f t="shared" si="5"/>
        <v>3.868744627701063E-2</v>
      </c>
      <c r="D28" s="6">
        <f t="shared" si="12"/>
        <v>1.1991649329229186E-2</v>
      </c>
      <c r="E28" s="9">
        <f t="shared" si="6"/>
        <v>15.19442501958761</v>
      </c>
      <c r="F28" s="7">
        <f t="shared" si="0"/>
        <v>16.759469070866004</v>
      </c>
      <c r="G28" s="7">
        <f t="shared" si="7"/>
        <v>16.759469070866004</v>
      </c>
      <c r="H28" s="7">
        <f t="shared" si="8"/>
        <v>0.3921393226247808</v>
      </c>
      <c r="I28" s="7">
        <f t="shared" si="9"/>
        <v>0.89711988408548815</v>
      </c>
      <c r="J28" t="b">
        <f t="shared" si="1"/>
        <v>1</v>
      </c>
      <c r="K28" s="7">
        <f t="shared" si="2"/>
        <v>16.759469070866004</v>
      </c>
      <c r="L28" s="7">
        <f t="shared" si="10"/>
        <v>-0.2405309291339961</v>
      </c>
      <c r="M28">
        <f t="shared" si="3"/>
        <v>0</v>
      </c>
      <c r="N28">
        <f t="shared" si="4"/>
        <v>0</v>
      </c>
      <c r="O28" s="3">
        <f t="shared" si="11"/>
        <v>123028.10973793318</v>
      </c>
    </row>
    <row r="29" spans="1:15" x14ac:dyDescent="0.25">
      <c r="A29">
        <f>'hours (1)'!A29</f>
        <v>18</v>
      </c>
      <c r="B29">
        <f>'hours (1)'!B29</f>
        <v>354843.3</v>
      </c>
      <c r="C29" s="6">
        <f t="shared" si="5"/>
        <v>4.1292585405969959E-2</v>
      </c>
      <c r="D29" s="6">
        <f t="shared" si="12"/>
        <v>1.2372423396615413E-2</v>
      </c>
      <c r="E29" s="9">
        <f t="shared" si="6"/>
        <v>16.194425019587609</v>
      </c>
      <c r="F29" s="7">
        <f t="shared" si="0"/>
        <v>17.759469070866004</v>
      </c>
      <c r="G29" s="7">
        <f t="shared" si="7"/>
        <v>17.759469070866004</v>
      </c>
      <c r="H29" s="7">
        <f t="shared" si="8"/>
        <v>0.36900717616656292</v>
      </c>
      <c r="I29" s="7">
        <f t="shared" si="9"/>
        <v>0.78009706708666715</v>
      </c>
      <c r="J29" t="b">
        <f t="shared" si="1"/>
        <v>1</v>
      </c>
      <c r="K29" s="7">
        <f t="shared" si="2"/>
        <v>17.759469070866004</v>
      </c>
      <c r="L29" s="7">
        <f t="shared" si="10"/>
        <v>-0.2405309291339961</v>
      </c>
      <c r="M29">
        <f t="shared" si="3"/>
        <v>0</v>
      </c>
      <c r="N29">
        <f t="shared" si="4"/>
        <v>0</v>
      </c>
      <c r="O29" s="3">
        <f t="shared" si="11"/>
        <v>359649.23132066027</v>
      </c>
    </row>
    <row r="30" spans="1:15" x14ac:dyDescent="0.25">
      <c r="A30">
        <f>'hours (1)'!A30</f>
        <v>19</v>
      </c>
      <c r="B30">
        <f>'hours (1)'!B30</f>
        <v>42924.36</v>
      </c>
      <c r="C30" s="6">
        <f t="shared" si="5"/>
        <v>4.1607721495115609E-2</v>
      </c>
      <c r="D30" s="6">
        <f t="shared" si="12"/>
        <v>1.3551961215472075E-2</v>
      </c>
      <c r="E30" s="9">
        <f t="shared" si="6"/>
        <v>17.194425019587609</v>
      </c>
      <c r="F30" s="7">
        <f t="shared" si="0"/>
        <v>18.759469070866004</v>
      </c>
      <c r="G30" s="7">
        <f t="shared" si="7"/>
        <v>18.759469070866004</v>
      </c>
      <c r="H30" s="7">
        <f t="shared" si="8"/>
        <v>0.34845375016095115</v>
      </c>
      <c r="I30" s="7">
        <f t="shared" si="9"/>
        <v>0.6783554771945155</v>
      </c>
      <c r="J30" t="b">
        <f t="shared" si="1"/>
        <v>1</v>
      </c>
      <c r="K30" s="7">
        <f t="shared" si="2"/>
        <v>18.759469070866004</v>
      </c>
      <c r="L30" s="7">
        <f t="shared" si="10"/>
        <v>-0.2405309291339961</v>
      </c>
      <c r="M30">
        <f t="shared" si="3"/>
        <v>0</v>
      </c>
      <c r="N30">
        <f t="shared" si="4"/>
        <v>0</v>
      </c>
      <c r="O30" s="3">
        <f t="shared" si="11"/>
        <v>43474.729317717873</v>
      </c>
    </row>
    <row r="31" spans="1:15" x14ac:dyDescent="0.25">
      <c r="A31">
        <f>'hours (1)'!A31</f>
        <v>20</v>
      </c>
      <c r="B31">
        <f>'hours (1)'!B31</f>
        <v>5215875</v>
      </c>
      <c r="C31" s="6">
        <f t="shared" si="5"/>
        <v>7.9900906273469186E-2</v>
      </c>
      <c r="D31" s="6">
        <f t="shared" si="12"/>
        <v>1.3702573426776825E-2</v>
      </c>
      <c r="E31" s="9">
        <f t="shared" si="6"/>
        <v>18.194425019587609</v>
      </c>
      <c r="F31" s="7">
        <f t="shared" si="0"/>
        <v>19.759469070866004</v>
      </c>
      <c r="G31" s="7">
        <f t="shared" si="7"/>
        <v>19.759469070866004</v>
      </c>
      <c r="H31" s="7">
        <f t="shared" si="8"/>
        <v>0.33007037409037865</v>
      </c>
      <c r="I31" s="7">
        <f t="shared" si="9"/>
        <v>0.59016641150910587</v>
      </c>
      <c r="J31" t="b">
        <f t="shared" si="1"/>
        <v>1</v>
      </c>
      <c r="K31" s="7">
        <f t="shared" si="2"/>
        <v>19.759469070866004</v>
      </c>
      <c r="L31" s="7">
        <f t="shared" si="10"/>
        <v>-0.2405309291339961</v>
      </c>
      <c r="M31">
        <f t="shared" si="3"/>
        <v>0</v>
      </c>
      <c r="N31">
        <f t="shared" si="4"/>
        <v>0</v>
      </c>
      <c r="O31" s="3">
        <f t="shared" si="11"/>
        <v>5279367.5592128672</v>
      </c>
    </row>
    <row r="32" spans="1:15" x14ac:dyDescent="0.25">
      <c r="A32">
        <f>'hours (1)'!A32</f>
        <v>21</v>
      </c>
      <c r="B32">
        <f>'hours (1)'!B32</f>
        <v>149887.70000000001</v>
      </c>
      <c r="C32" s="6">
        <f t="shared" si="5"/>
        <v>8.1001330917867764E-2</v>
      </c>
      <c r="D32" s="6">
        <f t="shared" si="12"/>
        <v>3.2967170318885394E-2</v>
      </c>
      <c r="E32" s="9">
        <f t="shared" si="6"/>
        <v>19.194425019587609</v>
      </c>
      <c r="F32" s="7">
        <f t="shared" si="0"/>
        <v>20.759469070866004</v>
      </c>
      <c r="G32" s="7">
        <f t="shared" si="7"/>
        <v>20.759469070866004</v>
      </c>
      <c r="H32" s="7">
        <f t="shared" si="8"/>
        <v>0.31353044017049758</v>
      </c>
      <c r="I32" s="7">
        <f t="shared" si="9"/>
        <v>0.51407887097555927</v>
      </c>
      <c r="J32" t="b">
        <f t="shared" si="1"/>
        <v>1</v>
      </c>
      <c r="K32" s="7">
        <f t="shared" si="2"/>
        <v>20.759469070866004</v>
      </c>
      <c r="L32" s="7">
        <f t="shared" si="10"/>
        <v>-0.2405309291339961</v>
      </c>
      <c r="M32">
        <f t="shared" si="3"/>
        <v>0</v>
      </c>
      <c r="N32">
        <f t="shared" si="4"/>
        <v>0</v>
      </c>
      <c r="O32" s="3">
        <f t="shared" si="11"/>
        <v>151624.38351650449</v>
      </c>
    </row>
    <row r="33" spans="1:15" x14ac:dyDescent="0.25">
      <c r="A33">
        <f>'hours (1)'!A33</f>
        <v>22</v>
      </c>
      <c r="B33">
        <f>'hours (1)'!B33</f>
        <v>168577.1</v>
      </c>
      <c r="C33" s="6">
        <f t="shared" si="5"/>
        <v>8.2238966796737367E-2</v>
      </c>
      <c r="D33" s="6">
        <f t="shared" si="12"/>
        <v>3.3548453885988629E-2</v>
      </c>
      <c r="E33" s="9">
        <f t="shared" si="6"/>
        <v>20.194425019587609</v>
      </c>
      <c r="F33" s="7">
        <f t="shared" si="0"/>
        <v>21.759469070866004</v>
      </c>
      <c r="G33" s="7">
        <f t="shared" si="7"/>
        <v>21.759469070866004</v>
      </c>
      <c r="H33" s="7">
        <f t="shared" si="8"/>
        <v>0.29856978074971902</v>
      </c>
      <c r="I33" s="7">
        <f t="shared" si="9"/>
        <v>0.44886308994273727</v>
      </c>
      <c r="J33" t="b">
        <f t="shared" si="1"/>
        <v>1</v>
      </c>
      <c r="K33" s="7">
        <f t="shared" si="2"/>
        <v>21.759469070866004</v>
      </c>
      <c r="L33" s="7">
        <f t="shared" si="10"/>
        <v>-0.2405309291339961</v>
      </c>
      <c r="M33">
        <f t="shared" si="3"/>
        <v>0</v>
      </c>
      <c r="N33">
        <f t="shared" si="4"/>
        <v>0</v>
      </c>
      <c r="O33" s="3">
        <f t="shared" si="11"/>
        <v>170440.56488334152</v>
      </c>
    </row>
    <row r="34" spans="1:15" x14ac:dyDescent="0.25">
      <c r="A34">
        <f>'hours (1)'!A34</f>
        <v>23</v>
      </c>
      <c r="B34">
        <f>'hours (1)'!B34</f>
        <v>157785.9</v>
      </c>
      <c r="C34" s="6">
        <f t="shared" si="5"/>
        <v>8.3397377346092719E-2</v>
      </c>
      <c r="D34" s="6">
        <f t="shared" si="12"/>
        <v>3.4233348915952873E-2</v>
      </c>
      <c r="E34" s="9">
        <f t="shared" si="6"/>
        <v>21.194425019587609</v>
      </c>
      <c r="F34" s="7">
        <f t="shared" si="0"/>
        <v>22.759469070866004</v>
      </c>
      <c r="G34" s="7">
        <f t="shared" si="7"/>
        <v>22.759469070866004</v>
      </c>
      <c r="H34" s="7">
        <f t="shared" si="8"/>
        <v>0.28497242149810736</v>
      </c>
      <c r="I34" s="7">
        <f t="shared" si="9"/>
        <v>0.39346772788511153</v>
      </c>
      <c r="J34" t="b">
        <f t="shared" si="1"/>
        <v>1</v>
      </c>
      <c r="K34" s="7">
        <f t="shared" si="2"/>
        <v>22.759469070866004</v>
      </c>
      <c r="L34" s="7">
        <f t="shared" si="10"/>
        <v>-0.2405309291339961</v>
      </c>
      <c r="M34">
        <f t="shared" si="3"/>
        <v>0</v>
      </c>
      <c r="N34">
        <f t="shared" si="4"/>
        <v>0</v>
      </c>
      <c r="O34" s="3">
        <f t="shared" si="11"/>
        <v>159453.44281539132</v>
      </c>
    </row>
    <row r="35" spans="1:15" x14ac:dyDescent="0.25">
      <c r="A35">
        <f>'hours (1)'!A35</f>
        <v>24</v>
      </c>
      <c r="B35">
        <f>'hours (1)'!B35</f>
        <v>1366080</v>
      </c>
      <c r="C35" s="6">
        <f t="shared" si="5"/>
        <v>9.3426673267105631E-2</v>
      </c>
      <c r="D35" s="6">
        <f t="shared" si="12"/>
        <v>3.4903540211291113E-2</v>
      </c>
      <c r="E35" s="9">
        <f t="shared" si="6"/>
        <v>22.194425019587609</v>
      </c>
      <c r="F35" s="7">
        <f t="shared" si="0"/>
        <v>23.759469070866004</v>
      </c>
      <c r="G35" s="7">
        <f t="shared" si="7"/>
        <v>23.759469070866004</v>
      </c>
      <c r="H35" s="7">
        <f t="shared" si="8"/>
        <v>0.27256006658119458</v>
      </c>
      <c r="I35" s="7">
        <f t="shared" si="9"/>
        <v>0.34698693926271806</v>
      </c>
      <c r="J35" t="b">
        <f t="shared" si="1"/>
        <v>1</v>
      </c>
      <c r="K35" s="7">
        <f t="shared" si="2"/>
        <v>23.759469070866004</v>
      </c>
      <c r="L35" s="7">
        <f t="shared" si="10"/>
        <v>-0.2405309291339961</v>
      </c>
      <c r="M35">
        <f t="shared" si="3"/>
        <v>0</v>
      </c>
      <c r="N35">
        <f t="shared" si="4"/>
        <v>0</v>
      </c>
      <c r="O35" s="3">
        <f t="shared" si="11"/>
        <v>1379909.6226523968</v>
      </c>
    </row>
    <row r="36" spans="1:15" x14ac:dyDescent="0.25">
      <c r="A36">
        <f>'hours (1)'!A36</f>
        <v>25</v>
      </c>
      <c r="B36">
        <f>'hours (1)'!B36</f>
        <v>2788093</v>
      </c>
      <c r="C36" s="6">
        <f t="shared" si="5"/>
        <v>0.11389590622001078</v>
      </c>
      <c r="D36" s="6">
        <f t="shared" si="12"/>
        <v>4.095820536849791E-2</v>
      </c>
      <c r="E36" s="9">
        <f t="shared" si="6"/>
        <v>23.194425019587609</v>
      </c>
      <c r="F36" s="7">
        <f t="shared" si="0"/>
        <v>24.759469070866004</v>
      </c>
      <c r="G36" s="7">
        <f t="shared" si="7"/>
        <v>24.759469070866004</v>
      </c>
      <c r="H36" s="7">
        <f t="shared" si="8"/>
        <v>0.26118422261046953</v>
      </c>
      <c r="I36" s="7">
        <f t="shared" si="9"/>
        <v>0.30863470647216162</v>
      </c>
      <c r="J36" t="b">
        <f t="shared" si="1"/>
        <v>1</v>
      </c>
      <c r="K36" s="7">
        <f t="shared" si="2"/>
        <v>24.759469070866004</v>
      </c>
      <c r="L36" s="7">
        <f t="shared" si="10"/>
        <v>-0.2405309291339961</v>
      </c>
      <c r="M36">
        <f t="shared" si="3"/>
        <v>0</v>
      </c>
      <c r="N36">
        <f t="shared" si="4"/>
        <v>0</v>
      </c>
      <c r="O36" s="3">
        <f t="shared" si="11"/>
        <v>2815178.500011432</v>
      </c>
    </row>
    <row r="37" spans="1:15" x14ac:dyDescent="0.25">
      <c r="A37">
        <f>'hours (1)'!A37</f>
        <v>26</v>
      </c>
      <c r="B37">
        <f>'hours (1)'!B37</f>
        <v>130005</v>
      </c>
      <c r="C37" s="6">
        <f t="shared" si="5"/>
        <v>0.11485035882616217</v>
      </c>
      <c r="D37" s="6">
        <f t="shared" si="12"/>
        <v>5.3830323599549666E-2</v>
      </c>
      <c r="E37" s="9">
        <f t="shared" si="6"/>
        <v>24.194425019587609</v>
      </c>
      <c r="F37" s="7">
        <f t="shared" si="0"/>
        <v>25.759469070866004</v>
      </c>
      <c r="G37" s="7">
        <f t="shared" si="7"/>
        <v>25.759469070866004</v>
      </c>
      <c r="H37" s="7">
        <f t="shared" si="8"/>
        <v>0.25072021955599932</v>
      </c>
      <c r="I37" s="7">
        <f t="shared" si="9"/>
        <v>0.27772459449017384</v>
      </c>
      <c r="J37" t="b">
        <f t="shared" si="1"/>
        <v>1</v>
      </c>
      <c r="K37" s="7">
        <f t="shared" si="2"/>
        <v>25.759469070866004</v>
      </c>
      <c r="L37" s="7">
        <f t="shared" si="10"/>
        <v>-0.2405309291339961</v>
      </c>
      <c r="M37">
        <f t="shared" si="3"/>
        <v>0</v>
      </c>
      <c r="N37">
        <f t="shared" si="4"/>
        <v>0</v>
      </c>
      <c r="O37" s="3">
        <f t="shared" si="11"/>
        <v>131218.93120937541</v>
      </c>
    </row>
    <row r="38" spans="1:15" x14ac:dyDescent="0.25">
      <c r="A38">
        <f>'hours (1)'!A38</f>
        <v>27</v>
      </c>
      <c r="B38">
        <f>'hours (1)'!B38</f>
        <v>157068.9</v>
      </c>
      <c r="C38" s="6">
        <f t="shared" si="5"/>
        <v>0.11600350540475785</v>
      </c>
      <c r="D38" s="6">
        <f t="shared" si="12"/>
        <v>5.445454141432593E-2</v>
      </c>
      <c r="E38" s="9">
        <f t="shared" si="6"/>
        <v>25.194425019587609</v>
      </c>
      <c r="F38" s="7">
        <f t="shared" si="0"/>
        <v>26.759469070866004</v>
      </c>
      <c r="G38" s="7">
        <f t="shared" si="7"/>
        <v>26.759469070866004</v>
      </c>
      <c r="H38" s="7">
        <f t="shared" si="8"/>
        <v>0.24106261600391632</v>
      </c>
      <c r="I38" s="7">
        <f t="shared" si="9"/>
        <v>0.25365360845541074</v>
      </c>
      <c r="J38" t="b">
        <f t="shared" si="1"/>
        <v>1</v>
      </c>
      <c r="K38" s="7">
        <f t="shared" si="2"/>
        <v>26.759469070866004</v>
      </c>
      <c r="L38" s="7">
        <f t="shared" si="10"/>
        <v>-0.2405309291339961</v>
      </c>
      <c r="M38">
        <f t="shared" si="3"/>
        <v>0</v>
      </c>
      <c r="N38">
        <f t="shared" si="4"/>
        <v>0</v>
      </c>
      <c r="O38" s="3">
        <f t="shared" si="11"/>
        <v>158480.73400743128</v>
      </c>
    </row>
    <row r="39" spans="1:15" x14ac:dyDescent="0.25">
      <c r="A39">
        <f>'hours (1)'!A39</f>
        <v>28</v>
      </c>
      <c r="B39">
        <f>'hours (1)'!B39</f>
        <v>448118</v>
      </c>
      <c r="C39" s="6">
        <f t="shared" si="5"/>
        <v>0.11929343573792461</v>
      </c>
      <c r="D39" s="6">
        <f t="shared" si="12"/>
        <v>5.5237712638284003E-2</v>
      </c>
      <c r="E39" s="9">
        <f t="shared" si="6"/>
        <v>26.194425019587609</v>
      </c>
      <c r="F39" s="7">
        <f t="shared" si="0"/>
        <v>27.759469070866004</v>
      </c>
      <c r="G39" s="7">
        <f t="shared" si="7"/>
        <v>27.759469070866004</v>
      </c>
      <c r="H39" s="7">
        <f t="shared" si="8"/>
        <v>0.23212162861344587</v>
      </c>
      <c r="I39" s="7">
        <f t="shared" si="9"/>
        <v>0.23588919513027079</v>
      </c>
      <c r="J39" t="b">
        <f t="shared" si="1"/>
        <v>1</v>
      </c>
      <c r="K39" s="7">
        <f t="shared" si="2"/>
        <v>27.759469070866004</v>
      </c>
      <c r="L39" s="7">
        <f t="shared" si="10"/>
        <v>-0.2405309291339961</v>
      </c>
      <c r="M39">
        <f t="shared" si="3"/>
        <v>0</v>
      </c>
      <c r="N39">
        <f t="shared" si="4"/>
        <v>0</v>
      </c>
      <c r="O39" s="3">
        <f t="shared" si="11"/>
        <v>452000.86384824238</v>
      </c>
    </row>
    <row r="40" spans="1:15" x14ac:dyDescent="0.25">
      <c r="A40">
        <f>'hours (1)'!A40</f>
        <v>29</v>
      </c>
      <c r="B40">
        <f>'hours (1)'!B40</f>
        <v>69923.070000000007</v>
      </c>
      <c r="C40" s="6">
        <f t="shared" si="5"/>
        <v>0.1198067871966501</v>
      </c>
      <c r="D40" s="6">
        <f t="shared" si="12"/>
        <v>5.7554857447570475E-2</v>
      </c>
      <c r="E40" s="9">
        <f t="shared" si="6"/>
        <v>27.194425019587609</v>
      </c>
      <c r="F40" s="7">
        <f t="shared" si="0"/>
        <v>28.759469070866004</v>
      </c>
      <c r="G40" s="7">
        <f t="shared" si="7"/>
        <v>28.759469070866004</v>
      </c>
      <c r="H40" s="7">
        <f t="shared" si="8"/>
        <v>0.22382032889654008</v>
      </c>
      <c r="I40" s="7">
        <f t="shared" si="9"/>
        <v>0.22395868094893112</v>
      </c>
      <c r="J40" t="b">
        <f t="shared" si="1"/>
        <v>1</v>
      </c>
      <c r="K40" s="7">
        <f t="shared" si="2"/>
        <v>28.759469070866004</v>
      </c>
      <c r="L40" s="7">
        <f t="shared" si="10"/>
        <v>-0.2405309291339961</v>
      </c>
      <c r="M40">
        <f t="shared" si="3"/>
        <v>0</v>
      </c>
      <c r="N40">
        <f t="shared" si="4"/>
        <v>0</v>
      </c>
      <c r="O40" s="3">
        <f t="shared" si="11"/>
        <v>70507.874293624438</v>
      </c>
    </row>
    <row r="41" spans="1:15" x14ac:dyDescent="0.25">
      <c r="A41">
        <f>'hours (1)'!A41</f>
        <v>30</v>
      </c>
      <c r="B41">
        <f>'hours (1)'!B41</f>
        <v>4735767</v>
      </c>
      <c r="C41" s="6">
        <f t="shared" si="5"/>
        <v>0.15457518191435884</v>
      </c>
      <c r="D41" s="6">
        <f t="shared" si="12"/>
        <v>5.7929331078104683E-2</v>
      </c>
      <c r="E41" s="9">
        <f t="shared" si="6"/>
        <v>28.194425019587609</v>
      </c>
      <c r="F41" s="7">
        <f t="shared" si="0"/>
        <v>29.759469070866004</v>
      </c>
      <c r="G41" s="7">
        <f t="shared" si="7"/>
        <v>29.759469070866004</v>
      </c>
      <c r="H41" s="7">
        <f t="shared" si="8"/>
        <v>0.21609242154385494</v>
      </c>
      <c r="I41" s="7">
        <f t="shared" si="9"/>
        <v>0.21744061831169981</v>
      </c>
      <c r="J41" t="b">
        <f t="shared" si="1"/>
        <v>0</v>
      </c>
      <c r="K41" s="7">
        <f t="shared" si="2"/>
        <v>29.759469070866004</v>
      </c>
      <c r="L41" s="7">
        <f t="shared" si="10"/>
        <v>-0.2405309291339961</v>
      </c>
      <c r="M41">
        <f t="shared" si="3"/>
        <v>0</v>
      </c>
      <c r="N41">
        <f t="shared" si="4"/>
        <v>0</v>
      </c>
      <c r="O41" s="3">
        <f t="shared" si="11"/>
        <v>4774043.8400188722</v>
      </c>
    </row>
    <row r="42" spans="1:15" x14ac:dyDescent="0.25">
      <c r="A42">
        <f>'hours (1)'!A42</f>
        <v>31</v>
      </c>
      <c r="B42">
        <f>'hours (1)'!B42</f>
        <v>44161.75</v>
      </c>
      <c r="C42" s="6">
        <f t="shared" si="5"/>
        <v>0.15489940250110323</v>
      </c>
      <c r="D42" s="6">
        <f t="shared" si="12"/>
        <v>8.4166340850180404E-2</v>
      </c>
      <c r="E42" s="9">
        <f t="shared" si="6"/>
        <v>29.194425019587609</v>
      </c>
      <c r="F42" s="7">
        <f t="shared" si="0"/>
        <v>30.759469070866004</v>
      </c>
      <c r="G42" s="7">
        <f t="shared" si="7"/>
        <v>30.759469070866004</v>
      </c>
      <c r="H42" s="7">
        <f t="shared" si="8"/>
        <v>0.20888046821723166</v>
      </c>
      <c r="I42" s="7">
        <f t="shared" si="9"/>
        <v>0.21595764079403901</v>
      </c>
      <c r="J42" t="b">
        <f t="shared" si="1"/>
        <v>0</v>
      </c>
      <c r="K42" s="7">
        <f t="shared" si="2"/>
        <v>30.759469070866004</v>
      </c>
      <c r="L42" s="7">
        <f t="shared" si="10"/>
        <v>-0.2405309291339961</v>
      </c>
      <c r="M42">
        <f t="shared" si="3"/>
        <v>0</v>
      </c>
      <c r="N42">
        <f t="shared" si="4"/>
        <v>0</v>
      </c>
      <c r="O42" s="3">
        <f t="shared" si="11"/>
        <v>44507.083228451076</v>
      </c>
    </row>
    <row r="43" spans="1:15" x14ac:dyDescent="0.25">
      <c r="A43">
        <f>'hours (1)'!A43</f>
        <v>32</v>
      </c>
      <c r="B43">
        <f>'hours (1)'!B43</f>
        <v>1921819</v>
      </c>
      <c r="C43" s="6">
        <f t="shared" si="5"/>
        <v>0.16900874562714646</v>
      </c>
      <c r="D43" s="6">
        <f t="shared" si="12"/>
        <v>8.4419160441004587E-2</v>
      </c>
      <c r="E43" s="9">
        <f t="shared" si="6"/>
        <v>30.194425019587609</v>
      </c>
      <c r="F43" s="7">
        <f t="shared" si="0"/>
        <v>31.759469070866004</v>
      </c>
      <c r="G43" s="7">
        <f t="shared" si="7"/>
        <v>31.759469070866004</v>
      </c>
      <c r="H43" s="7">
        <f t="shared" si="8"/>
        <v>0.20213445595023666</v>
      </c>
      <c r="I43" s="7">
        <f t="shared" si="9"/>
        <v>0.21917052215615146</v>
      </c>
      <c r="J43" t="b">
        <f t="shared" si="1"/>
        <v>0</v>
      </c>
      <c r="K43" s="7">
        <f t="shared" si="2"/>
        <v>31.759469070866004</v>
      </c>
      <c r="L43" s="7">
        <f t="shared" si="10"/>
        <v>-0.2405309291339961</v>
      </c>
      <c r="M43">
        <f t="shared" si="3"/>
        <v>0</v>
      </c>
      <c r="N43">
        <f t="shared" si="4"/>
        <v>0</v>
      </c>
      <c r="O43" s="3">
        <f t="shared" si="11"/>
        <v>1936373.9319060063</v>
      </c>
    </row>
    <row r="44" spans="1:15" x14ac:dyDescent="0.25">
      <c r="A44">
        <f>'hours (1)'!A44</f>
        <v>33</v>
      </c>
      <c r="B44">
        <f>'hours (1)'!B44</f>
        <v>149202.29999999999</v>
      </c>
      <c r="C44" s="6">
        <f t="shared" si="5"/>
        <v>0.17010413829726515</v>
      </c>
      <c r="D44" s="6">
        <f t="shared" si="12"/>
        <v>9.5776202037161001E-2</v>
      </c>
      <c r="E44" s="9">
        <f t="shared" si="6"/>
        <v>31.194425019587609</v>
      </c>
      <c r="F44" s="7">
        <f t="shared" si="0"/>
        <v>32.759469070866004</v>
      </c>
      <c r="G44" s="7">
        <f t="shared" si="7"/>
        <v>32.759469070866004</v>
      </c>
      <c r="H44" s="7">
        <f t="shared" si="8"/>
        <v>0.19581063458329606</v>
      </c>
      <c r="I44" s="7">
        <f t="shared" si="9"/>
        <v>0.22677320367760317</v>
      </c>
      <c r="J44" t="b">
        <f t="shared" si="1"/>
        <v>0</v>
      </c>
      <c r="K44" s="7">
        <f t="shared" si="2"/>
        <v>32.759469070866004</v>
      </c>
      <c r="L44" s="7">
        <f t="shared" si="10"/>
        <v>-0.2405309291339961</v>
      </c>
      <c r="M44">
        <f t="shared" si="3"/>
        <v>0</v>
      </c>
      <c r="N44">
        <f t="shared" si="4"/>
        <v>0</v>
      </c>
      <c r="O44" s="3">
        <f t="shared" si="11"/>
        <v>150297.7929632802</v>
      </c>
    </row>
    <row r="45" spans="1:15" x14ac:dyDescent="0.25">
      <c r="A45">
        <f>'hours (1)'!A45</f>
        <v>34</v>
      </c>
      <c r="B45">
        <f>'hours (1)'!B45</f>
        <v>198350.5</v>
      </c>
      <c r="C45" s="6">
        <f t="shared" si="5"/>
        <v>0.1715603603783884</v>
      </c>
      <c r="D45" s="6">
        <f t="shared" si="12"/>
        <v>9.6685470678001609E-2</v>
      </c>
      <c r="E45" s="9">
        <f t="shared" si="6"/>
        <v>32.194425019587612</v>
      </c>
      <c r="F45" s="7">
        <f t="shared" si="0"/>
        <v>33.759469070866004</v>
      </c>
      <c r="G45" s="7">
        <f t="shared" si="7"/>
        <v>33.759469070866004</v>
      </c>
      <c r="H45" s="7">
        <f t="shared" si="8"/>
        <v>0.189870566029125</v>
      </c>
      <c r="I45" s="7">
        <f t="shared" si="9"/>
        <v>0.23848860638739061</v>
      </c>
      <c r="J45" t="b">
        <f t="shared" si="1"/>
        <v>0</v>
      </c>
      <c r="K45" s="7">
        <f t="shared" si="2"/>
        <v>33.759469070866004</v>
      </c>
      <c r="L45" s="7">
        <f t="shared" si="10"/>
        <v>-0.2405309291339961</v>
      </c>
      <c r="M45">
        <f t="shared" si="3"/>
        <v>0</v>
      </c>
      <c r="N45">
        <f t="shared" si="4"/>
        <v>0</v>
      </c>
      <c r="O45" s="3">
        <f t="shared" si="11"/>
        <v>199763.71624339066</v>
      </c>
    </row>
    <row r="46" spans="1:15" x14ac:dyDescent="0.25">
      <c r="A46">
        <f>'hours (1)'!A46</f>
        <v>35</v>
      </c>
      <c r="B46">
        <f>'hours (1)'!B46</f>
        <v>5915070</v>
      </c>
      <c r="C46" s="6">
        <f t="shared" si="5"/>
        <v>0.21498679764670786</v>
      </c>
      <c r="D46" s="6">
        <f t="shared" si="12"/>
        <v>9.7930888201224822E-2</v>
      </c>
      <c r="E46" s="9">
        <f t="shared" si="6"/>
        <v>33.194425019587612</v>
      </c>
      <c r="F46" s="7">
        <f t="shared" si="0"/>
        <v>34.759469070866004</v>
      </c>
      <c r="G46" s="7">
        <f t="shared" si="7"/>
        <v>34.759469070866004</v>
      </c>
      <c r="H46" s="7">
        <f t="shared" si="8"/>
        <v>0.18428034165755258</v>
      </c>
      <c r="I46" s="7">
        <f t="shared" si="9"/>
        <v>0.2540650840604638</v>
      </c>
      <c r="J46" t="b">
        <f t="shared" si="1"/>
        <v>0</v>
      </c>
      <c r="K46" s="7">
        <f t="shared" si="2"/>
        <v>34.759469070866004</v>
      </c>
      <c r="L46" s="7">
        <f t="shared" si="10"/>
        <v>-0.2405309291339961</v>
      </c>
      <c r="M46">
        <f t="shared" si="3"/>
        <v>1</v>
      </c>
      <c r="N46">
        <f t="shared" si="4"/>
        <v>0</v>
      </c>
      <c r="O46" s="3">
        <f t="shared" si="11"/>
        <v>5956001.5021495866</v>
      </c>
    </row>
    <row r="47" spans="1:15" x14ac:dyDescent="0.25">
      <c r="A47">
        <f>'hours (1)'!A47</f>
        <v>36</v>
      </c>
      <c r="B47">
        <f>'hours (1)'!B47</f>
        <v>1647393</v>
      </c>
      <c r="C47" s="6">
        <f t="shared" si="5"/>
        <v>0.22708139817903777</v>
      </c>
      <c r="D47" s="6">
        <f t="shared" si="12"/>
        <v>0.13616321134787962</v>
      </c>
      <c r="E47" s="9">
        <f t="shared" si="6"/>
        <v>34.194425019587612</v>
      </c>
      <c r="F47" s="7">
        <f t="shared" si="0"/>
        <v>35.759469070866004</v>
      </c>
      <c r="G47" s="7">
        <f t="shared" si="7"/>
        <v>35.759469070866004</v>
      </c>
      <c r="H47" s="7">
        <f t="shared" si="8"/>
        <v>0.17900993410354138</v>
      </c>
      <c r="I47" s="7">
        <f t="shared" si="9"/>
        <v>0.27327340281412349</v>
      </c>
      <c r="J47" t="b">
        <f t="shared" si="1"/>
        <v>0</v>
      </c>
      <c r="K47" s="7">
        <f t="shared" si="2"/>
        <v>35.759469070866004</v>
      </c>
      <c r="L47" s="7">
        <f t="shared" si="10"/>
        <v>-0.2405309291339961</v>
      </c>
      <c r="M47">
        <f t="shared" si="3"/>
        <v>1</v>
      </c>
      <c r="N47">
        <f t="shared" si="4"/>
        <v>1</v>
      </c>
      <c r="O47" s="3">
        <f t="shared" si="11"/>
        <v>1658473.9522410296</v>
      </c>
    </row>
    <row r="48" spans="1:15" x14ac:dyDescent="0.25">
      <c r="A48">
        <f>'hours (1)'!A48</f>
        <v>37</v>
      </c>
      <c r="B48">
        <f>'hours (1)'!B48</f>
        <v>822001.4</v>
      </c>
      <c r="C48" s="6">
        <f t="shared" si="5"/>
        <v>0.23311625359606086</v>
      </c>
      <c r="D48" s="6">
        <f t="shared" si="12"/>
        <v>0.14711543925253351</v>
      </c>
      <c r="E48" s="9">
        <f t="shared" si="6"/>
        <v>35.194425019587612</v>
      </c>
      <c r="F48" s="7">
        <f t="shared" si="0"/>
        <v>36.759469070866004</v>
      </c>
      <c r="G48" s="7">
        <f t="shared" si="7"/>
        <v>36.759469070866004</v>
      </c>
      <c r="H48" s="7">
        <f t="shared" si="8"/>
        <v>0.17403265730710507</v>
      </c>
      <c r="I48" s="7">
        <f t="shared" si="9"/>
        <v>0.29590415618644184</v>
      </c>
      <c r="J48" t="b">
        <f t="shared" si="1"/>
        <v>0</v>
      </c>
      <c r="K48" s="7">
        <f t="shared" si="2"/>
        <v>36.759469070866004</v>
      </c>
      <c r="L48" s="7">
        <f t="shared" si="10"/>
        <v>-0.2405309291339961</v>
      </c>
      <c r="M48">
        <f t="shared" si="3"/>
        <v>1</v>
      </c>
      <c r="N48">
        <f t="shared" si="4"/>
        <v>1</v>
      </c>
      <c r="O48" s="3">
        <f t="shared" si="11"/>
        <v>827380.06202883075</v>
      </c>
    </row>
    <row r="49" spans="1:15" x14ac:dyDescent="0.25">
      <c r="A49">
        <f>'hours (1)'!A49</f>
        <v>38</v>
      </c>
      <c r="B49">
        <f>'hours (1)'!B49</f>
        <v>1667259</v>
      </c>
      <c r="C49" s="6">
        <f t="shared" si="5"/>
        <v>0.24535670356090339</v>
      </c>
      <c r="D49" s="6">
        <f t="shared" si="12"/>
        <v>0.15273208504813549</v>
      </c>
      <c r="E49" s="9">
        <f t="shared" si="6"/>
        <v>36.194425019587612</v>
      </c>
      <c r="F49" s="7">
        <f t="shared" si="0"/>
        <v>37.759469070866004</v>
      </c>
      <c r="G49" s="7">
        <f t="shared" si="7"/>
        <v>37.759469070866004</v>
      </c>
      <c r="H49" s="7">
        <f t="shared" si="8"/>
        <v>0.16932471426889503</v>
      </c>
      <c r="I49" s="7">
        <f t="shared" si="9"/>
        <v>0.32176554245828237</v>
      </c>
      <c r="J49" t="b">
        <f t="shared" si="1"/>
        <v>0</v>
      </c>
      <c r="K49" s="7">
        <f t="shared" si="2"/>
        <v>37.759469070866004</v>
      </c>
      <c r="L49" s="7">
        <f t="shared" si="10"/>
        <v>-0.2405309291339961</v>
      </c>
      <c r="M49">
        <f t="shared" si="3"/>
        <v>1</v>
      </c>
      <c r="N49">
        <f t="shared" si="4"/>
        <v>1</v>
      </c>
      <c r="O49" s="3">
        <f t="shared" si="11"/>
        <v>1677879.5772020889</v>
      </c>
    </row>
    <row r="50" spans="1:15" x14ac:dyDescent="0.25">
      <c r="A50">
        <f>'hours (1)'!A50</f>
        <v>39</v>
      </c>
      <c r="B50">
        <f>'hours (1)'!B50</f>
        <v>213584</v>
      </c>
      <c r="C50" s="6">
        <f t="shared" si="5"/>
        <v>0.24692476483110251</v>
      </c>
      <c r="D50" s="6">
        <f t="shared" si="12"/>
        <v>0.16443218097537801</v>
      </c>
      <c r="E50" s="9">
        <f t="shared" si="6"/>
        <v>37.194425019587612</v>
      </c>
      <c r="F50" s="7">
        <f t="shared" si="0"/>
        <v>38.759469070866004</v>
      </c>
      <c r="G50" s="7">
        <f t="shared" si="7"/>
        <v>38.759469070866004</v>
      </c>
      <c r="H50" s="7">
        <f t="shared" si="8"/>
        <v>0.16486481633325559</v>
      </c>
      <c r="I50" s="7">
        <f t="shared" si="9"/>
        <v>0.35068144495948828</v>
      </c>
      <c r="J50" t="b">
        <f t="shared" si="1"/>
        <v>0</v>
      </c>
      <c r="K50" s="7">
        <f t="shared" si="2"/>
        <v>38.759469070866004</v>
      </c>
      <c r="L50" s="7">
        <f t="shared" si="10"/>
        <v>-0.2405309291339961</v>
      </c>
      <c r="M50">
        <f t="shared" si="3"/>
        <v>1</v>
      </c>
      <c r="N50">
        <f t="shared" si="4"/>
        <v>1</v>
      </c>
      <c r="O50" s="3">
        <f t="shared" si="11"/>
        <v>214909.44534792844</v>
      </c>
    </row>
    <row r="51" spans="1:15" x14ac:dyDescent="0.25">
      <c r="A51">
        <f>'hours (1)'!A51</f>
        <v>40</v>
      </c>
      <c r="B51">
        <f>'hours (1)'!B51</f>
        <v>70800000</v>
      </c>
      <c r="C51" s="6">
        <f t="shared" si="5"/>
        <v>0.76671434612042266</v>
      </c>
      <c r="D51" s="6">
        <f t="shared" si="12"/>
        <v>0.16597046340010599</v>
      </c>
      <c r="E51" s="9">
        <f t="shared" si="6"/>
        <v>38.194425019587612</v>
      </c>
      <c r="F51" s="7">
        <f t="shared" ref="F51:F82" si="13">$A51-$B$5*$B$12*$B$4*$B$9</f>
        <v>39.759469070866004</v>
      </c>
      <c r="G51" s="7">
        <f t="shared" si="7"/>
        <v>39.759469070866004</v>
      </c>
      <c r="H51" s="7">
        <f t="shared" si="8"/>
        <v>0.16063386113765366</v>
      </c>
      <c r="I51" s="7">
        <f t="shared" si="9"/>
        <v>0.38248976711023919</v>
      </c>
      <c r="J51" t="b">
        <f t="shared" ref="J51:J82" si="14">F51&lt;=$B$14</f>
        <v>0</v>
      </c>
      <c r="K51" s="7">
        <f t="shared" ref="K51:K82" si="15">IF(J51,F51,IF(H51&lt;I51,G51,$B$14))</f>
        <v>39.759469070866004</v>
      </c>
      <c r="L51" s="7">
        <f t="shared" si="10"/>
        <v>-0.2405309291339961</v>
      </c>
      <c r="M51">
        <f t="shared" ref="M51:M82" si="16">IF($A51&gt;$B$15,1,0)</f>
        <v>1</v>
      </c>
      <c r="N51">
        <f t="shared" ref="N51:N82" si="17">IF($K51&gt;$B$15,1,0)</f>
        <v>1</v>
      </c>
      <c r="O51" s="3">
        <f t="shared" si="11"/>
        <v>71228315.321623981</v>
      </c>
    </row>
    <row r="52" spans="1:15" x14ac:dyDescent="0.25">
      <c r="A52">
        <f>'hours (1)'!A52</f>
        <v>41</v>
      </c>
      <c r="B52">
        <f>'hours (1)'!B52</f>
        <v>92662.9</v>
      </c>
      <c r="C52" s="6">
        <f t="shared" si="5"/>
        <v>0.76739464569658167</v>
      </c>
      <c r="D52" s="6">
        <f t="shared" si="12"/>
        <v>0.68896361793747007</v>
      </c>
      <c r="E52" s="9">
        <f t="shared" si="6"/>
        <v>39.194425019587612</v>
      </c>
      <c r="F52" s="7">
        <f t="shared" si="13"/>
        <v>40.759469070866004</v>
      </c>
      <c r="G52" s="7">
        <f t="shared" si="7"/>
        <v>40.759469070866004</v>
      </c>
      <c r="H52" s="7">
        <f t="shared" si="8"/>
        <v>0.15661465894441834</v>
      </c>
      <c r="I52" s="7">
        <f t="shared" si="9"/>
        <v>0.41704098268132528</v>
      </c>
      <c r="J52" t="b">
        <f t="shared" si="14"/>
        <v>0</v>
      </c>
      <c r="K52" s="7">
        <f t="shared" si="15"/>
        <v>40.759469070866004</v>
      </c>
      <c r="L52" s="7">
        <f t="shared" si="10"/>
        <v>-0.2405309291339961</v>
      </c>
      <c r="M52">
        <f t="shared" si="16"/>
        <v>1</v>
      </c>
      <c r="N52">
        <f t="shared" si="17"/>
        <v>1</v>
      </c>
      <c r="O52" s="3">
        <f t="shared" si="11"/>
        <v>93209.724920474284</v>
      </c>
    </row>
    <row r="53" spans="1:15" x14ac:dyDescent="0.25">
      <c r="A53">
        <f>'hours (1)'!A53</f>
        <v>42</v>
      </c>
      <c r="B53">
        <f>'hours (1)'!B53</f>
        <v>690234</v>
      </c>
      <c r="C53" s="6">
        <f t="shared" si="5"/>
        <v>0.77246210956454286</v>
      </c>
      <c r="D53" s="6">
        <f t="shared" si="12"/>
        <v>0.68966522265412356</v>
      </c>
      <c r="E53" s="9">
        <f t="shared" si="6"/>
        <v>40.194425019587612</v>
      </c>
      <c r="F53" s="7">
        <f t="shared" si="13"/>
        <v>41.759469070866004</v>
      </c>
      <c r="G53" s="7">
        <f t="shared" si="7"/>
        <v>41.759469070866004</v>
      </c>
      <c r="H53" s="7">
        <f t="shared" si="8"/>
        <v>0.15279169908090948</v>
      </c>
      <c r="I53" s="7">
        <f t="shared" si="9"/>
        <v>0.45419686872890308</v>
      </c>
      <c r="J53" t="b">
        <f t="shared" si="14"/>
        <v>0</v>
      </c>
      <c r="K53" s="7">
        <f t="shared" si="15"/>
        <v>41.759469070866004</v>
      </c>
      <c r="L53" s="7">
        <f t="shared" si="10"/>
        <v>-0.2405309291339961</v>
      </c>
      <c r="M53">
        <f t="shared" si="16"/>
        <v>1</v>
      </c>
      <c r="N53">
        <f t="shared" si="17"/>
        <v>1</v>
      </c>
      <c r="O53" s="3">
        <f t="shared" si="11"/>
        <v>694209.68812616204</v>
      </c>
    </row>
    <row r="54" spans="1:15" x14ac:dyDescent="0.25">
      <c r="A54">
        <f>'hours (1)'!A54</f>
        <v>43</v>
      </c>
      <c r="B54">
        <f>'hours (1)'!B54</f>
        <v>396101.2</v>
      </c>
      <c r="C54" s="6">
        <f t="shared" si="5"/>
        <v>0.77537015019866995</v>
      </c>
      <c r="D54" s="6">
        <f t="shared" si="12"/>
        <v>0.69501885316090872</v>
      </c>
      <c r="E54" s="9">
        <f t="shared" si="6"/>
        <v>41.194425019587612</v>
      </c>
      <c r="F54" s="7">
        <f t="shared" si="13"/>
        <v>42.759469070866004</v>
      </c>
      <c r="G54" s="7">
        <f t="shared" si="7"/>
        <v>42.759469070866004</v>
      </c>
      <c r="H54" s="7">
        <f t="shared" si="8"/>
        <v>0.14915094979294038</v>
      </c>
      <c r="I54" s="7">
        <f t="shared" si="9"/>
        <v>0.49382939425988881</v>
      </c>
      <c r="J54" t="b">
        <f t="shared" si="14"/>
        <v>0</v>
      </c>
      <c r="K54" s="7">
        <f t="shared" si="15"/>
        <v>42.759469070866004</v>
      </c>
      <c r="L54" s="7">
        <f t="shared" si="10"/>
        <v>-0.2405309291339961</v>
      </c>
      <c r="M54">
        <f t="shared" si="16"/>
        <v>1</v>
      </c>
      <c r="N54">
        <f t="shared" si="17"/>
        <v>1</v>
      </c>
      <c r="O54" s="3">
        <f t="shared" si="11"/>
        <v>398329.3518395187</v>
      </c>
    </row>
    <row r="55" spans="1:15" x14ac:dyDescent="0.25">
      <c r="A55">
        <f>'hours (1)'!A55</f>
        <v>44</v>
      </c>
      <c r="B55">
        <f>'hours (1)'!B55</f>
        <v>421844.8</v>
      </c>
      <c r="C55" s="6">
        <f t="shared" si="5"/>
        <v>0.77846719161054956</v>
      </c>
      <c r="D55" s="6">
        <f t="shared" si="12"/>
        <v>0.69816426392802511</v>
      </c>
      <c r="E55" s="9">
        <f t="shared" si="6"/>
        <v>42.194425019587612</v>
      </c>
      <c r="F55" s="7">
        <f t="shared" si="13"/>
        <v>43.759469070866004</v>
      </c>
      <c r="G55" s="7">
        <f t="shared" si="7"/>
        <v>43.759469070866004</v>
      </c>
      <c r="H55" s="7">
        <f t="shared" si="8"/>
        <v>0.14567968606389664</v>
      </c>
      <c r="I55" s="7">
        <f t="shared" si="9"/>
        <v>0.53581974220957918</v>
      </c>
      <c r="J55" t="b">
        <f t="shared" si="14"/>
        <v>0</v>
      </c>
      <c r="K55" s="7">
        <f t="shared" si="15"/>
        <v>43.759469070866004</v>
      </c>
      <c r="L55" s="7">
        <f t="shared" si="10"/>
        <v>-0.2405309291339961</v>
      </c>
      <c r="M55">
        <f t="shared" si="16"/>
        <v>1</v>
      </c>
      <c r="N55">
        <f t="shared" si="17"/>
        <v>1</v>
      </c>
      <c r="O55" s="3">
        <f t="shared" si="11"/>
        <v>424163.5374949642</v>
      </c>
    </row>
    <row r="56" spans="1:15" x14ac:dyDescent="0.25">
      <c r="A56">
        <f>'hours (1)'!A56</f>
        <v>45</v>
      </c>
      <c r="B56">
        <f>'hours (1)'!B56</f>
        <v>6143031</v>
      </c>
      <c r="C56" s="6">
        <f t="shared" si="5"/>
        <v>0.82356724120570934</v>
      </c>
      <c r="D56" s="6">
        <f t="shared" si="12"/>
        <v>0.70159200597526949</v>
      </c>
      <c r="E56" s="9">
        <f t="shared" si="6"/>
        <v>43.194425019587612</v>
      </c>
      <c r="F56" s="7">
        <f t="shared" si="13"/>
        <v>44.759469070866004</v>
      </c>
      <c r="G56" s="7">
        <f t="shared" si="7"/>
        <v>44.759469070866004</v>
      </c>
      <c r="H56" s="7">
        <f t="shared" si="8"/>
        <v>0.14236634094405515</v>
      </c>
      <c r="I56" s="7">
        <f t="shared" si="9"/>
        <v>0.58005744599017506</v>
      </c>
      <c r="J56" t="b">
        <f t="shared" si="14"/>
        <v>0</v>
      </c>
      <c r="K56" s="7">
        <f t="shared" si="15"/>
        <v>44.759469070866004</v>
      </c>
      <c r="L56" s="7">
        <f t="shared" si="10"/>
        <v>-0.2405309291339961</v>
      </c>
      <c r="M56">
        <f t="shared" si="16"/>
        <v>1</v>
      </c>
      <c r="N56">
        <f t="shared" si="17"/>
        <v>1</v>
      </c>
      <c r="O56" s="3">
        <f t="shared" si="11"/>
        <v>6176042.7623108877</v>
      </c>
    </row>
    <row r="57" spans="1:15" x14ac:dyDescent="0.25">
      <c r="A57">
        <f>'hours (1)'!A57</f>
        <v>46</v>
      </c>
      <c r="B57">
        <f>'hours (1)'!B57</f>
        <v>205670.1</v>
      </c>
      <c r="C57" s="6">
        <f t="shared" si="5"/>
        <v>0.82507720130687789</v>
      </c>
      <c r="D57" s="6">
        <f t="shared" si="12"/>
        <v>0.75264226806919143</v>
      </c>
      <c r="E57" s="9">
        <f t="shared" si="6"/>
        <v>44.194425019587612</v>
      </c>
      <c r="F57" s="7">
        <f t="shared" si="13"/>
        <v>45.759469070866004</v>
      </c>
      <c r="G57" s="7">
        <f t="shared" si="7"/>
        <v>45.759469070866004</v>
      </c>
      <c r="H57" s="7">
        <f t="shared" si="8"/>
        <v>0.13920037672785335</v>
      </c>
      <c r="I57" s="7">
        <f t="shared" si="9"/>
        <v>0.62643962487249683</v>
      </c>
      <c r="J57" t="b">
        <f t="shared" si="14"/>
        <v>0</v>
      </c>
      <c r="K57" s="7">
        <f t="shared" si="15"/>
        <v>45.759469070866004</v>
      </c>
      <c r="L57" s="7">
        <f t="shared" si="10"/>
        <v>-0.2405309291339961</v>
      </c>
      <c r="M57">
        <f t="shared" si="16"/>
        <v>1</v>
      </c>
      <c r="N57">
        <f t="shared" si="17"/>
        <v>1</v>
      </c>
      <c r="O57" s="3">
        <f t="shared" si="11"/>
        <v>206751.18816060494</v>
      </c>
    </row>
    <row r="58" spans="1:15" x14ac:dyDescent="0.25">
      <c r="A58">
        <f>'hours (1)'!A58</f>
        <v>47</v>
      </c>
      <c r="B58">
        <f>'hours (1)'!B58</f>
        <v>153490.29999999999</v>
      </c>
      <c r="C58" s="6">
        <f t="shared" si="5"/>
        <v>0.82620407501830406</v>
      </c>
      <c r="D58" s="6">
        <f t="shared" si="12"/>
        <v>0.75438942431992539</v>
      </c>
      <c r="E58" s="9">
        <f t="shared" si="6"/>
        <v>45.194425019587612</v>
      </c>
      <c r="F58" s="7">
        <f t="shared" si="13"/>
        <v>46.759469070866004</v>
      </c>
      <c r="G58" s="7">
        <f t="shared" si="7"/>
        <v>46.759469070866004</v>
      </c>
      <c r="H58" s="7">
        <f t="shared" si="8"/>
        <v>0.1361721729547426</v>
      </c>
      <c r="I58" s="7">
        <f t="shared" si="9"/>
        <v>0.67487030492884825</v>
      </c>
      <c r="J58" t="b">
        <f t="shared" si="14"/>
        <v>0</v>
      </c>
      <c r="K58" s="7">
        <f t="shared" si="15"/>
        <v>46.759469070866004</v>
      </c>
      <c r="L58" s="7">
        <f t="shared" si="10"/>
        <v>-0.2405309291339961</v>
      </c>
      <c r="M58">
        <f t="shared" si="16"/>
        <v>1</v>
      </c>
      <c r="N58">
        <f t="shared" si="17"/>
        <v>1</v>
      </c>
      <c r="O58" s="3">
        <f t="shared" si="11"/>
        <v>154279.85482612735</v>
      </c>
    </row>
    <row r="59" spans="1:15" x14ac:dyDescent="0.25">
      <c r="A59">
        <f>'hours (1)'!A59</f>
        <v>48</v>
      </c>
      <c r="B59">
        <f>'hours (1)'!B59</f>
        <v>1108012</v>
      </c>
      <c r="C59" s="6">
        <f t="shared" si="5"/>
        <v>0.83433872323219593</v>
      </c>
      <c r="D59" s="6">
        <f t="shared" si="12"/>
        <v>0.75572166149535991</v>
      </c>
      <c r="E59" s="9">
        <f t="shared" si="6"/>
        <v>46.194425019587612</v>
      </c>
      <c r="F59" s="7">
        <f t="shared" si="13"/>
        <v>47.759469070866004</v>
      </c>
      <c r="G59" s="7">
        <f t="shared" si="7"/>
        <v>47.759469070866004</v>
      </c>
      <c r="H59" s="7">
        <f t="shared" si="8"/>
        <v>0.13327292872472474</v>
      </c>
      <c r="I59" s="7">
        <f t="shared" si="9"/>
        <v>0.72525981429888997</v>
      </c>
      <c r="J59" t="b">
        <f t="shared" si="14"/>
        <v>0</v>
      </c>
      <c r="K59" s="7">
        <f t="shared" si="15"/>
        <v>47.759469070866004</v>
      </c>
      <c r="L59" s="7">
        <f t="shared" si="10"/>
        <v>-0.2405309291339961</v>
      </c>
      <c r="M59">
        <f t="shared" si="16"/>
        <v>1</v>
      </c>
      <c r="N59">
        <f t="shared" si="17"/>
        <v>1</v>
      </c>
      <c r="O59" s="3">
        <f t="shared" si="11"/>
        <v>1113592.2788648291</v>
      </c>
    </row>
    <row r="60" spans="1:15" x14ac:dyDescent="0.25">
      <c r="A60">
        <f>'hours (1)'!A60</f>
        <v>49</v>
      </c>
      <c r="B60">
        <f>'hours (1)'!B60</f>
        <v>77834.45</v>
      </c>
      <c r="C60" s="6">
        <f t="shared" si="5"/>
        <v>0.8349101573589669</v>
      </c>
      <c r="D60" s="6">
        <f t="shared" si="12"/>
        <v>0.76554340202324556</v>
      </c>
      <c r="E60" s="9">
        <f t="shared" si="6"/>
        <v>47.194425019587612</v>
      </c>
      <c r="F60" s="7">
        <f t="shared" si="13"/>
        <v>48.759469070866004</v>
      </c>
      <c r="G60" s="7">
        <f t="shared" si="7"/>
        <v>48.759469070866004</v>
      </c>
      <c r="H60" s="7">
        <f t="shared" si="8"/>
        <v>0.13049457723842792</v>
      </c>
      <c r="I60" s="7">
        <f t="shared" si="9"/>
        <v>0.77752424322565727</v>
      </c>
      <c r="J60" t="b">
        <f t="shared" si="14"/>
        <v>0</v>
      </c>
      <c r="K60" s="7">
        <f t="shared" si="15"/>
        <v>48.759469070866004</v>
      </c>
      <c r="L60" s="7">
        <f t="shared" si="10"/>
        <v>-0.2405309291339961</v>
      </c>
      <c r="M60">
        <f t="shared" si="16"/>
        <v>1</v>
      </c>
      <c r="N60">
        <f t="shared" si="17"/>
        <v>1</v>
      </c>
      <c r="O60" s="3">
        <f t="shared" si="11"/>
        <v>78218.408089246703</v>
      </c>
    </row>
    <row r="61" spans="1:15" x14ac:dyDescent="0.25">
      <c r="A61">
        <f>'hours (1)'!A61</f>
        <v>50</v>
      </c>
      <c r="B61">
        <f>'hours (1)'!B61</f>
        <v>10100000</v>
      </c>
      <c r="C61" s="6">
        <f t="shared" si="5"/>
        <v>0.9090609309609744</v>
      </c>
      <c r="D61" s="6">
        <f t="shared" si="12"/>
        <v>0.76624772311869815</v>
      </c>
      <c r="E61" s="9">
        <f t="shared" si="6"/>
        <v>48.194425019587612</v>
      </c>
      <c r="F61" s="7">
        <f t="shared" si="13"/>
        <v>49.759469070866004</v>
      </c>
      <c r="G61" s="7">
        <f t="shared" si="7"/>
        <v>49.759469070866004</v>
      </c>
      <c r="H61" s="7">
        <f t="shared" si="8"/>
        <v>0.12782971081323388</v>
      </c>
      <c r="I61" s="7">
        <f t="shared" si="9"/>
        <v>0.83158496071134036</v>
      </c>
      <c r="J61" t="b">
        <f t="shared" si="14"/>
        <v>0</v>
      </c>
      <c r="K61" s="7">
        <f t="shared" si="15"/>
        <v>49.759469070866004</v>
      </c>
      <c r="L61" s="7">
        <f t="shared" si="10"/>
        <v>-0.2405309291339961</v>
      </c>
      <c r="M61">
        <f t="shared" si="16"/>
        <v>1</v>
      </c>
      <c r="N61">
        <f t="shared" si="17"/>
        <v>1</v>
      </c>
      <c r="O61" s="3">
        <f t="shared" si="11"/>
        <v>10148822.112245481</v>
      </c>
    </row>
    <row r="62" spans="1:15" x14ac:dyDescent="0.25">
      <c r="A62">
        <f>'hours (1)'!A62</f>
        <v>51</v>
      </c>
      <c r="B62">
        <f>'hours (1)'!B62</f>
        <v>19376.21</v>
      </c>
      <c r="C62" s="6">
        <f t="shared" si="5"/>
        <v>0.90920318452146698</v>
      </c>
      <c r="D62" s="6">
        <f t="shared" si="12"/>
        <v>0.85950744876889895</v>
      </c>
      <c r="E62" s="9">
        <f t="shared" si="6"/>
        <v>49.194425019587612</v>
      </c>
      <c r="F62" s="7">
        <f t="shared" si="13"/>
        <v>50.759469070866004</v>
      </c>
      <c r="G62" s="7">
        <f t="shared" si="7"/>
        <v>50.759469070866004</v>
      </c>
      <c r="H62" s="7">
        <f t="shared" si="8"/>
        <v>0.12527151490712318</v>
      </c>
      <c r="I62" s="7">
        <f t="shared" si="9"/>
        <v>0.88736818081445201</v>
      </c>
      <c r="J62" t="b">
        <f t="shared" si="14"/>
        <v>0</v>
      </c>
      <c r="K62" s="7">
        <f t="shared" si="15"/>
        <v>50.759469070866004</v>
      </c>
      <c r="L62" s="7">
        <f t="shared" si="10"/>
        <v>-0.2405309291339961</v>
      </c>
      <c r="M62">
        <f t="shared" si="16"/>
        <v>1</v>
      </c>
      <c r="N62">
        <f t="shared" si="17"/>
        <v>1</v>
      </c>
      <c r="O62" s="3">
        <f t="shared" si="11"/>
        <v>19468.026913764181</v>
      </c>
    </row>
    <row r="63" spans="1:15" x14ac:dyDescent="0.25">
      <c r="A63">
        <f>'hours (1)'!A63</f>
        <v>52</v>
      </c>
      <c r="B63">
        <f>'hours (1)'!B63</f>
        <v>1296780</v>
      </c>
      <c r="C63" s="6">
        <f t="shared" si="5"/>
        <v>0.91872370335231957</v>
      </c>
      <c r="D63" s="6">
        <f t="shared" si="12"/>
        <v>0.85968993990051434</v>
      </c>
      <c r="E63" s="9">
        <f t="shared" si="6"/>
        <v>50.194425019587612</v>
      </c>
      <c r="F63" s="7">
        <f t="shared" si="13"/>
        <v>51.759469070866004</v>
      </c>
      <c r="G63" s="7">
        <f t="shared" si="7"/>
        <v>51.759469070866004</v>
      </c>
      <c r="H63" s="7">
        <f t="shared" si="8"/>
        <v>0.12281370991246121</v>
      </c>
      <c r="I63" s="7">
        <f t="shared" si="9"/>
        <v>0.94480457259328809</v>
      </c>
      <c r="J63" t="b">
        <f t="shared" si="14"/>
        <v>0</v>
      </c>
      <c r="K63" s="7">
        <f t="shared" si="15"/>
        <v>51.759469070866004</v>
      </c>
      <c r="L63" s="7">
        <f t="shared" si="10"/>
        <v>-0.2405309291339961</v>
      </c>
      <c r="M63">
        <f t="shared" si="16"/>
        <v>1</v>
      </c>
      <c r="N63">
        <f t="shared" si="17"/>
        <v>1</v>
      </c>
      <c r="O63" s="3">
        <f t="shared" si="11"/>
        <v>1302806.2538214086</v>
      </c>
    </row>
    <row r="64" spans="1:15" x14ac:dyDescent="0.25">
      <c r="A64">
        <f>'hours (1)'!A64</f>
        <v>53</v>
      </c>
      <c r="B64">
        <f>'hours (1)'!B64</f>
        <v>75603.33</v>
      </c>
      <c r="C64" s="6">
        <f t="shared" si="5"/>
        <v>0.91927875735295206</v>
      </c>
      <c r="D64" s="6">
        <f t="shared" si="12"/>
        <v>0.87214289444604054</v>
      </c>
      <c r="E64" s="9">
        <f t="shared" si="6"/>
        <v>51.194425019587612</v>
      </c>
      <c r="F64" s="7">
        <f t="shared" si="13"/>
        <v>52.759469070866004</v>
      </c>
      <c r="G64" s="7">
        <f t="shared" si="7"/>
        <v>52.759469070866004</v>
      </c>
      <c r="H64" s="7">
        <f t="shared" si="8"/>
        <v>0.12045049967264981</v>
      </c>
      <c r="I64" s="7">
        <f t="shared" si="9"/>
        <v>1.0038289085286107</v>
      </c>
      <c r="J64" t="b">
        <f t="shared" si="14"/>
        <v>0</v>
      </c>
      <c r="K64" s="7">
        <f t="shared" si="15"/>
        <v>52.759469070866004</v>
      </c>
      <c r="L64" s="7">
        <f t="shared" si="10"/>
        <v>-0.2405309291339961</v>
      </c>
      <c r="M64">
        <f t="shared" si="16"/>
        <v>1</v>
      </c>
      <c r="N64">
        <f t="shared" si="17"/>
        <v>1</v>
      </c>
      <c r="O64" s="3">
        <f t="shared" si="11"/>
        <v>75948.006311774458</v>
      </c>
    </row>
    <row r="65" spans="1:15" x14ac:dyDescent="0.25">
      <c r="A65">
        <f>'hours (1)'!A65</f>
        <v>54</v>
      </c>
      <c r="B65">
        <f>'hours (1)'!B65</f>
        <v>93215.23</v>
      </c>
      <c r="C65" s="6">
        <f t="shared" si="5"/>
        <v>0.91996311194859459</v>
      </c>
      <c r="D65" s="6">
        <f t="shared" si="12"/>
        <v>0.87288287370969242</v>
      </c>
      <c r="E65" s="9">
        <f t="shared" si="6"/>
        <v>52.194425019587612</v>
      </c>
      <c r="F65" s="7">
        <f t="shared" si="13"/>
        <v>53.759469070866004</v>
      </c>
      <c r="G65" s="7">
        <f t="shared" si="7"/>
        <v>53.759469070866004</v>
      </c>
      <c r="H65" s="7">
        <f t="shared" si="8"/>
        <v>0.11817652583277125</v>
      </c>
      <c r="I65" s="7">
        <f t="shared" si="9"/>
        <v>1.0643797469583773</v>
      </c>
      <c r="J65" t="b">
        <f t="shared" si="14"/>
        <v>0</v>
      </c>
      <c r="K65" s="7">
        <f t="shared" si="15"/>
        <v>53.759469070866004</v>
      </c>
      <c r="L65" s="7">
        <f t="shared" si="10"/>
        <v>-0.2405309291339961</v>
      </c>
      <c r="M65">
        <f t="shared" si="16"/>
        <v>1</v>
      </c>
      <c r="N65">
        <f t="shared" si="17"/>
        <v>1</v>
      </c>
      <c r="O65" s="3">
        <f t="shared" si="11"/>
        <v>93632.294124122636</v>
      </c>
    </row>
    <row r="66" spans="1:15" x14ac:dyDescent="0.25">
      <c r="A66">
        <f>'hours (1)'!A66</f>
        <v>55</v>
      </c>
      <c r="B66">
        <f>'hours (1)'!B66</f>
        <v>2501288</v>
      </c>
      <c r="C66" s="6">
        <f t="shared" si="5"/>
        <v>0.93832671988932903</v>
      </c>
      <c r="D66" s="6">
        <f t="shared" si="12"/>
        <v>0.87381244647388234</v>
      </c>
      <c r="E66" s="9">
        <f t="shared" si="6"/>
        <v>53.194425019587612</v>
      </c>
      <c r="F66" s="7">
        <f t="shared" si="13"/>
        <v>54.759469070866004</v>
      </c>
      <c r="G66" s="7">
        <f t="shared" si="7"/>
        <v>54.759469070866004</v>
      </c>
      <c r="H66" s="7">
        <f t="shared" si="8"/>
        <v>0.11598682726718509</v>
      </c>
      <c r="I66" s="7">
        <f t="shared" si="9"/>
        <v>1.1263991446508761</v>
      </c>
      <c r="J66" t="b">
        <f t="shared" si="14"/>
        <v>0</v>
      </c>
      <c r="K66" s="7">
        <f t="shared" si="15"/>
        <v>54.759469070866004</v>
      </c>
      <c r="L66" s="7">
        <f t="shared" si="10"/>
        <v>-0.2405309291339961</v>
      </c>
      <c r="M66">
        <f t="shared" si="16"/>
        <v>1</v>
      </c>
      <c r="N66">
        <f t="shared" si="17"/>
        <v>1</v>
      </c>
      <c r="O66" s="3">
        <f t="shared" si="11"/>
        <v>2512274.9057695414</v>
      </c>
    </row>
    <row r="67" spans="1:15" x14ac:dyDescent="0.25">
      <c r="A67">
        <f>'hours (1)'!A67</f>
        <v>56</v>
      </c>
      <c r="B67">
        <f>'hours (1)'!B67</f>
        <v>249015.8</v>
      </c>
      <c r="C67" s="6">
        <f t="shared" si="5"/>
        <v>0.94015490941498481</v>
      </c>
      <c r="D67" s="6">
        <f t="shared" si="12"/>
        <v>0.89921802824787778</v>
      </c>
      <c r="E67" s="9">
        <f t="shared" si="6"/>
        <v>54.194425019587612</v>
      </c>
      <c r="F67" s="7">
        <f t="shared" si="13"/>
        <v>55.759469070866004</v>
      </c>
      <c r="G67" s="7">
        <f t="shared" si="7"/>
        <v>55.759469070866004</v>
      </c>
      <c r="H67" s="7">
        <f t="shared" si="8"/>
        <v>0.11387680393727652</v>
      </c>
      <c r="I67" s="7">
        <f t="shared" si="9"/>
        <v>1.1898323961478063</v>
      </c>
      <c r="J67" t="b">
        <f t="shared" si="14"/>
        <v>0</v>
      </c>
      <c r="K67" s="7">
        <f t="shared" si="15"/>
        <v>55.759469070866004</v>
      </c>
      <c r="L67" s="7">
        <f t="shared" si="10"/>
        <v>-0.2405309291339961</v>
      </c>
      <c r="M67">
        <f t="shared" si="16"/>
        <v>1</v>
      </c>
      <c r="N67">
        <f t="shared" si="17"/>
        <v>1</v>
      </c>
      <c r="O67" s="3">
        <f t="shared" si="11"/>
        <v>250089.98529518137</v>
      </c>
    </row>
    <row r="68" spans="1:15" x14ac:dyDescent="0.25">
      <c r="A68">
        <f>'hours (1)'!A68</f>
        <v>57</v>
      </c>
      <c r="B68">
        <f>'hours (1)'!B68</f>
        <v>30187.94</v>
      </c>
      <c r="C68" s="6">
        <f t="shared" si="5"/>
        <v>0.94037653902928686</v>
      </c>
      <c r="D68" s="6">
        <f t="shared" si="12"/>
        <v>0.9017932681105939</v>
      </c>
      <c r="E68" s="9">
        <f t="shared" si="6"/>
        <v>55.194425019587612</v>
      </c>
      <c r="F68" s="7">
        <f t="shared" si="13"/>
        <v>56.759469070866004</v>
      </c>
      <c r="G68" s="7">
        <f t="shared" si="7"/>
        <v>56.759469070866004</v>
      </c>
      <c r="H68" s="7">
        <f t="shared" si="8"/>
        <v>0.11184218462506132</v>
      </c>
      <c r="I68" s="7">
        <f t="shared" si="9"/>
        <v>1.2546277969400086</v>
      </c>
      <c r="J68" t="b">
        <f t="shared" si="14"/>
        <v>0</v>
      </c>
      <c r="K68" s="7">
        <f t="shared" si="15"/>
        <v>56.759469070866004</v>
      </c>
      <c r="L68" s="7">
        <f t="shared" si="10"/>
        <v>-0.2405309291339961</v>
      </c>
      <c r="M68">
        <f t="shared" si="16"/>
        <v>1</v>
      </c>
      <c r="N68">
        <f t="shared" si="17"/>
        <v>1</v>
      </c>
      <c r="O68" s="3">
        <f t="shared" si="11"/>
        <v>30315.868139140544</v>
      </c>
    </row>
    <row r="69" spans="1:15" x14ac:dyDescent="0.25">
      <c r="A69">
        <f>'hours (1)'!A69</f>
        <v>58</v>
      </c>
      <c r="B69">
        <f>'hours (1)'!B69</f>
        <v>87955.02</v>
      </c>
      <c r="C69" s="6">
        <f t="shared" si="5"/>
        <v>0.94102227494762147</v>
      </c>
      <c r="D69" s="6">
        <f t="shared" si="12"/>
        <v>0.90211103679006643</v>
      </c>
      <c r="E69" s="9">
        <f t="shared" si="6"/>
        <v>56.194425019587612</v>
      </c>
      <c r="F69" s="7">
        <f t="shared" si="13"/>
        <v>57.759469070866004</v>
      </c>
      <c r="G69" s="7">
        <f t="shared" si="7"/>
        <v>57.759469070866004</v>
      </c>
      <c r="H69" s="7">
        <f t="shared" si="8"/>
        <v>0.10987899806619784</v>
      </c>
      <c r="I69" s="7">
        <f t="shared" si="9"/>
        <v>1.3207364279078131</v>
      </c>
      <c r="J69" t="b">
        <f t="shared" si="14"/>
        <v>0</v>
      </c>
      <c r="K69" s="7">
        <f t="shared" si="15"/>
        <v>57.759469070866004</v>
      </c>
      <c r="L69" s="7">
        <f t="shared" si="10"/>
        <v>-0.2405309291339961</v>
      </c>
      <c r="M69">
        <f t="shared" si="16"/>
        <v>1</v>
      </c>
      <c r="N69">
        <f t="shared" si="17"/>
        <v>1</v>
      </c>
      <c r="O69" s="3">
        <f t="shared" si="11"/>
        <v>88321.295920172372</v>
      </c>
    </row>
    <row r="70" spans="1:15" x14ac:dyDescent="0.25">
      <c r="A70">
        <f>'hours (1)'!A70</f>
        <v>59</v>
      </c>
      <c r="B70">
        <f>'hours (1)'!B70</f>
        <v>20569.490000000002</v>
      </c>
      <c r="C70" s="6">
        <f t="shared" si="5"/>
        <v>0.94117328916505705</v>
      </c>
      <c r="D70" s="6">
        <f t="shared" si="12"/>
        <v>0.9030531245920782</v>
      </c>
      <c r="E70" s="9">
        <f t="shared" si="6"/>
        <v>57.194425019587612</v>
      </c>
      <c r="F70" s="7">
        <f t="shared" si="13"/>
        <v>58.759469070866004</v>
      </c>
      <c r="G70" s="7">
        <f t="shared" si="7"/>
        <v>58.759469070866004</v>
      </c>
      <c r="H70" s="7">
        <f t="shared" si="8"/>
        <v>0.10798354707177463</v>
      </c>
      <c r="I70" s="7">
        <f t="shared" si="9"/>
        <v>1.3881119587751585</v>
      </c>
      <c r="J70" t="b">
        <f t="shared" si="14"/>
        <v>0</v>
      </c>
      <c r="K70" s="7">
        <f t="shared" si="15"/>
        <v>58.759469070866004</v>
      </c>
      <c r="L70" s="7">
        <f t="shared" si="10"/>
        <v>-0.2405309291339961</v>
      </c>
      <c r="M70">
        <f t="shared" si="16"/>
        <v>1</v>
      </c>
      <c r="N70">
        <f t="shared" si="17"/>
        <v>1</v>
      </c>
      <c r="O70" s="3">
        <f t="shared" si="11"/>
        <v>20653.690872127445</v>
      </c>
    </row>
    <row r="71" spans="1:15" x14ac:dyDescent="0.25">
      <c r="A71">
        <f>'hours (1)'!A71</f>
        <v>60</v>
      </c>
      <c r="B71">
        <f>'hours (1)'!B71</f>
        <v>4952193</v>
      </c>
      <c r="C71" s="6">
        <f t="shared" si="5"/>
        <v>0.97753061015282405</v>
      </c>
      <c r="D71" s="6">
        <f t="shared" si="12"/>
        <v>0.90327724339337667</v>
      </c>
      <c r="E71" s="9">
        <f t="shared" si="6"/>
        <v>58.194425019587612</v>
      </c>
      <c r="F71" s="7">
        <f t="shared" si="13"/>
        <v>59.759469070866004</v>
      </c>
      <c r="G71" s="7">
        <f t="shared" si="7"/>
        <v>59.759469070866004</v>
      </c>
      <c r="H71" s="7">
        <f t="shared" si="8"/>
        <v>0.10615238528394921</v>
      </c>
      <c r="I71" s="7">
        <f t="shared" si="9"/>
        <v>1.4567104685997296</v>
      </c>
      <c r="J71" t="b">
        <f t="shared" si="14"/>
        <v>0</v>
      </c>
      <c r="K71" s="7">
        <f t="shared" si="15"/>
        <v>59.759469070866004</v>
      </c>
      <c r="L71" s="7">
        <f t="shared" si="10"/>
        <v>-0.2405309291339961</v>
      </c>
      <c r="M71">
        <f t="shared" si="16"/>
        <v>1</v>
      </c>
      <c r="N71">
        <f t="shared" si="17"/>
        <v>1</v>
      </c>
      <c r="O71" s="3">
        <f t="shared" si="11"/>
        <v>4972125.4994358355</v>
      </c>
    </row>
    <row r="72" spans="1:15" x14ac:dyDescent="0.25">
      <c r="A72">
        <f>'hours (1)'!A72</f>
        <v>61</v>
      </c>
      <c r="B72">
        <f>'hours (1)'!B72</f>
        <v>8672.7000000000007</v>
      </c>
      <c r="C72" s="6">
        <f t="shared" si="5"/>
        <v>0.97759428217403377</v>
      </c>
      <c r="D72" s="6">
        <f t="shared" si="12"/>
        <v>0.95814934167617016</v>
      </c>
      <c r="E72" s="9">
        <f t="shared" si="6"/>
        <v>59.194425019587612</v>
      </c>
      <c r="F72" s="7">
        <f t="shared" si="13"/>
        <v>60.759469070866004</v>
      </c>
      <c r="G72" s="7">
        <f t="shared" si="7"/>
        <v>60.759469070866004</v>
      </c>
      <c r="H72" s="7">
        <f t="shared" si="8"/>
        <v>0.10438229625788803</v>
      </c>
      <c r="I72" s="7">
        <f t="shared" si="9"/>
        <v>1.526490281557314</v>
      </c>
      <c r="J72" t="b">
        <f t="shared" si="14"/>
        <v>0</v>
      </c>
      <c r="K72" s="7">
        <f t="shared" si="15"/>
        <v>60.759469070866004</v>
      </c>
      <c r="L72" s="7">
        <f t="shared" si="10"/>
        <v>-0.2405309291339961</v>
      </c>
      <c r="M72">
        <f t="shared" si="16"/>
        <v>1</v>
      </c>
      <c r="N72">
        <f t="shared" si="17"/>
        <v>1</v>
      </c>
      <c r="O72" s="3">
        <f t="shared" si="11"/>
        <v>8707.0329627628489</v>
      </c>
    </row>
    <row r="73" spans="1:15" x14ac:dyDescent="0.25">
      <c r="A73">
        <f>'hours (1)'!A73</f>
        <v>62</v>
      </c>
      <c r="B73">
        <f>'hours (1)'!B73</f>
        <v>19027.900000000001</v>
      </c>
      <c r="C73" s="6">
        <f t="shared" si="5"/>
        <v>0.97773397856066957</v>
      </c>
      <c r="D73" s="6">
        <f t="shared" si="12"/>
        <v>0.95824703995534133</v>
      </c>
      <c r="E73" s="9">
        <f t="shared" si="6"/>
        <v>60.194425019587612</v>
      </c>
      <c r="F73" s="7">
        <f t="shared" si="13"/>
        <v>61.759469070866004</v>
      </c>
      <c r="G73" s="7">
        <f t="shared" si="7"/>
        <v>61.759469070866004</v>
      </c>
      <c r="H73" s="7">
        <f t="shared" si="8"/>
        <v>0.10267027460283001</v>
      </c>
      <c r="I73" s="7">
        <f t="shared" si="9"/>
        <v>1.5974118164828759</v>
      </c>
      <c r="J73" t="b">
        <f t="shared" si="14"/>
        <v>0</v>
      </c>
      <c r="K73" s="7">
        <f t="shared" si="15"/>
        <v>61.759469070866004</v>
      </c>
      <c r="L73" s="7">
        <f t="shared" si="10"/>
        <v>-0.2405309291339961</v>
      </c>
      <c r="M73">
        <f t="shared" si="16"/>
        <v>1</v>
      </c>
      <c r="N73">
        <f t="shared" si="17"/>
        <v>1</v>
      </c>
      <c r="O73" s="3">
        <f t="shared" si="11"/>
        <v>19102.006829856604</v>
      </c>
    </row>
    <row r="74" spans="1:15" x14ac:dyDescent="0.25">
      <c r="A74">
        <f>'hours (1)'!A74</f>
        <v>63</v>
      </c>
      <c r="B74">
        <f>'hours (1)'!B74</f>
        <v>18365.64</v>
      </c>
      <c r="C74" s="6">
        <f t="shared" si="5"/>
        <v>0.97786881285905536</v>
      </c>
      <c r="D74" s="6">
        <f t="shared" si="12"/>
        <v>0.9584649038711619</v>
      </c>
      <c r="E74" s="9">
        <f t="shared" si="6"/>
        <v>61.194425019587612</v>
      </c>
      <c r="F74" s="7">
        <f t="shared" si="13"/>
        <v>62.759469070866004</v>
      </c>
      <c r="G74" s="7">
        <f t="shared" si="7"/>
        <v>62.759469070866004</v>
      </c>
      <c r="H74" s="7">
        <f t="shared" si="8"/>
        <v>0.10101350894960845</v>
      </c>
      <c r="I74" s="7">
        <f t="shared" si="9"/>
        <v>1.6694374488081538</v>
      </c>
      <c r="J74" t="b">
        <f t="shared" si="14"/>
        <v>0</v>
      </c>
      <c r="K74" s="7">
        <f t="shared" si="15"/>
        <v>62.759469070866004</v>
      </c>
      <c r="L74" s="7">
        <f t="shared" si="10"/>
        <v>-0.2405309291339961</v>
      </c>
      <c r="M74">
        <f t="shared" si="16"/>
        <v>1</v>
      </c>
      <c r="N74">
        <f t="shared" si="17"/>
        <v>1</v>
      </c>
      <c r="O74" s="3">
        <f t="shared" si="11"/>
        <v>18436.027855709111</v>
      </c>
    </row>
    <row r="75" spans="1:15" x14ac:dyDescent="0.25">
      <c r="A75">
        <f>'hours (1)'!A75</f>
        <v>64</v>
      </c>
      <c r="B75">
        <f>'hours (1)'!B75</f>
        <v>40190.81</v>
      </c>
      <c r="C75" s="6">
        <f t="shared" si="5"/>
        <v>0.9781638801514505</v>
      </c>
      <c r="D75" s="6">
        <f t="shared" si="12"/>
        <v>0.95867857673553969</v>
      </c>
      <c r="E75" s="9">
        <f t="shared" si="6"/>
        <v>62.194425019587612</v>
      </c>
      <c r="F75" s="7">
        <f t="shared" si="13"/>
        <v>63.759469070866004</v>
      </c>
      <c r="G75" s="7">
        <f t="shared" si="7"/>
        <v>63.759469070866004</v>
      </c>
      <c r="H75" s="7">
        <f t="shared" si="8"/>
        <v>9.9409366541510669E-2</v>
      </c>
      <c r="I75" s="7">
        <f t="shared" si="9"/>
        <v>1.7425313836900307</v>
      </c>
      <c r="J75" t="b">
        <f t="shared" si="14"/>
        <v>0</v>
      </c>
      <c r="K75" s="7">
        <f t="shared" si="15"/>
        <v>63.759469070866004</v>
      </c>
      <c r="L75" s="7">
        <f t="shared" si="10"/>
        <v>-0.2405309291339961</v>
      </c>
      <c r="M75">
        <f t="shared" si="16"/>
        <v>1</v>
      </c>
      <c r="N75">
        <f t="shared" si="17"/>
        <v>1</v>
      </c>
      <c r="O75" s="3">
        <f t="shared" si="11"/>
        <v>40342.428779340888</v>
      </c>
    </row>
    <row r="76" spans="1:15" x14ac:dyDescent="0.25">
      <c r="A76">
        <f>'hours (1)'!A76</f>
        <v>65</v>
      </c>
      <c r="B76">
        <f>'hours (1)'!B76</f>
        <v>624453.69999999995</v>
      </c>
      <c r="C76" s="6">
        <f t="shared" si="5"/>
        <v>0.98274840737260261</v>
      </c>
      <c r="D76" s="6">
        <f t="shared" si="12"/>
        <v>0.95915359410289136</v>
      </c>
      <c r="E76" s="9">
        <f t="shared" si="6"/>
        <v>63.194425019587612</v>
      </c>
      <c r="F76" s="7">
        <f t="shared" si="13"/>
        <v>64.759469070866004</v>
      </c>
      <c r="G76" s="7">
        <f t="shared" si="7"/>
        <v>64.759469070866004</v>
      </c>
      <c r="H76" s="7">
        <f t="shared" si="8"/>
        <v>9.7855379270809534E-2</v>
      </c>
      <c r="I76" s="7">
        <f t="shared" si="9"/>
        <v>1.8166595392584812</v>
      </c>
      <c r="J76" t="b">
        <f t="shared" si="14"/>
        <v>0</v>
      </c>
      <c r="K76" s="7">
        <f t="shared" si="15"/>
        <v>64.759469070866004</v>
      </c>
      <c r="L76" s="7">
        <f t="shared" si="10"/>
        <v>-0.2405309291339961</v>
      </c>
      <c r="M76">
        <f t="shared" si="16"/>
        <v>1</v>
      </c>
      <c r="N76">
        <f t="shared" si="17"/>
        <v>1</v>
      </c>
      <c r="O76" s="3">
        <f t="shared" si="11"/>
        <v>626773.0585558553</v>
      </c>
    </row>
    <row r="77" spans="1:15" x14ac:dyDescent="0.25">
      <c r="A77">
        <f>'hours (1)'!A77</f>
        <v>66</v>
      </c>
      <c r="B77">
        <f>'hours (1)'!B77</f>
        <v>29494.29</v>
      </c>
      <c r="C77" s="6">
        <f t="shared" si="5"/>
        <v>0.98296494444392357</v>
      </c>
      <c r="D77" s="6">
        <f t="shared" si="12"/>
        <v>0.9666493658817259</v>
      </c>
      <c r="E77" s="9">
        <f t="shared" si="6"/>
        <v>64.194425019587612</v>
      </c>
      <c r="F77" s="7">
        <f t="shared" si="13"/>
        <v>65.759469070866004</v>
      </c>
      <c r="G77" s="7">
        <f t="shared" si="7"/>
        <v>65.759469070866004</v>
      </c>
      <c r="H77" s="7">
        <f t="shared" si="8"/>
        <v>9.6349231005132402E-2</v>
      </c>
      <c r="I77" s="7">
        <f t="shared" si="9"/>
        <v>1.8917894390307077</v>
      </c>
      <c r="J77" t="b">
        <f t="shared" si="14"/>
        <v>0</v>
      </c>
      <c r="K77" s="7">
        <f t="shared" si="15"/>
        <v>65.759469070866004</v>
      </c>
      <c r="L77" s="7">
        <f t="shared" si="10"/>
        <v>-0.2405309291339961</v>
      </c>
      <c r="M77">
        <f t="shared" si="16"/>
        <v>1</v>
      </c>
      <c r="N77">
        <f t="shared" si="17"/>
        <v>1</v>
      </c>
      <c r="O77" s="3">
        <f t="shared" si="11"/>
        <v>29602.17239440015</v>
      </c>
    </row>
    <row r="78" spans="1:15" x14ac:dyDescent="0.25">
      <c r="A78">
        <f>'hours (1)'!A78</f>
        <v>67</v>
      </c>
      <c r="B78">
        <f>'hours (1)'!B78</f>
        <v>7472.09</v>
      </c>
      <c r="C78" s="6">
        <f t="shared" si="5"/>
        <v>0.983019801993817</v>
      </c>
      <c r="D78" s="6">
        <f t="shared" si="12"/>
        <v>0.96700885407970749</v>
      </c>
      <c r="E78" s="9">
        <f t="shared" si="6"/>
        <v>65.194425019587612</v>
      </c>
      <c r="F78" s="7">
        <f t="shared" si="13"/>
        <v>66.759469070866004</v>
      </c>
      <c r="G78" s="7">
        <f t="shared" si="7"/>
        <v>66.759469070866004</v>
      </c>
      <c r="H78" s="7">
        <f t="shared" si="8"/>
        <v>9.4888746066783436E-2</v>
      </c>
      <c r="I78" s="7">
        <f t="shared" si="9"/>
        <v>1.9678901126412549</v>
      </c>
      <c r="J78" t="b">
        <f t="shared" si="14"/>
        <v>0</v>
      </c>
      <c r="K78" s="7">
        <f t="shared" si="15"/>
        <v>66.759469070866004</v>
      </c>
      <c r="L78" s="7">
        <f t="shared" si="10"/>
        <v>-0.2405309291339961</v>
      </c>
      <c r="M78">
        <f t="shared" si="16"/>
        <v>1</v>
      </c>
      <c r="N78">
        <f t="shared" si="17"/>
        <v>1</v>
      </c>
      <c r="O78" s="3">
        <f t="shared" si="11"/>
        <v>7499.0115554779959</v>
      </c>
    </row>
    <row r="79" spans="1:15" x14ac:dyDescent="0.25">
      <c r="A79">
        <f>'hours (1)'!A79</f>
        <v>68</v>
      </c>
      <c r="B79">
        <f>'hours (1)'!B79</f>
        <v>38388.75</v>
      </c>
      <c r="C79" s="6">
        <f t="shared" si="5"/>
        <v>0.98330163917303626</v>
      </c>
      <c r="D79" s="6">
        <f t="shared" si="12"/>
        <v>0.96710130679109374</v>
      </c>
      <c r="E79" s="9">
        <f t="shared" si="6"/>
        <v>66.194425019587612</v>
      </c>
      <c r="F79" s="7">
        <f t="shared" si="13"/>
        <v>67.759469070866004</v>
      </c>
      <c r="G79" s="7">
        <f t="shared" si="7"/>
        <v>67.759469070866004</v>
      </c>
      <c r="H79" s="7">
        <f t="shared" si="8"/>
        <v>9.3471878744471312E-2</v>
      </c>
      <c r="I79" s="7">
        <f t="shared" si="9"/>
        <v>2.0449320041284436</v>
      </c>
      <c r="J79" t="b">
        <f t="shared" si="14"/>
        <v>0</v>
      </c>
      <c r="K79" s="7">
        <f t="shared" si="15"/>
        <v>67.759469070866004</v>
      </c>
      <c r="L79" s="7">
        <f t="shared" si="10"/>
        <v>-0.2405309291339961</v>
      </c>
      <c r="M79">
        <f t="shared" si="16"/>
        <v>1</v>
      </c>
      <c r="N79">
        <f t="shared" si="17"/>
        <v>1</v>
      </c>
      <c r="O79" s="3">
        <f t="shared" si="11"/>
        <v>38525.021458917952</v>
      </c>
    </row>
    <row r="80" spans="1:15" x14ac:dyDescent="0.25">
      <c r="A80">
        <f>'hours (1)'!A80</f>
        <v>69</v>
      </c>
      <c r="B80">
        <f>'hours (1)'!B80</f>
        <v>7894.17</v>
      </c>
      <c r="C80" s="6">
        <f t="shared" si="5"/>
        <v>0.98335959549110019</v>
      </c>
      <c r="D80" s="6">
        <f t="shared" si="12"/>
        <v>0.96758338293352475</v>
      </c>
      <c r="E80" s="9">
        <f t="shared" si="6"/>
        <v>67.194425019587612</v>
      </c>
      <c r="F80" s="7">
        <f t="shared" si="13"/>
        <v>68.759469070866004</v>
      </c>
      <c r="G80" s="7">
        <f t="shared" si="7"/>
        <v>68.759469070866004</v>
      </c>
      <c r="H80" s="7">
        <f t="shared" si="8"/>
        <v>9.2096703731081073E-2</v>
      </c>
      <c r="I80" s="7">
        <f t="shared" si="9"/>
        <v>2.1228868870972626</v>
      </c>
      <c r="J80" t="b">
        <f t="shared" si="14"/>
        <v>0</v>
      </c>
      <c r="K80" s="7">
        <f t="shared" si="15"/>
        <v>68.759469070866004</v>
      </c>
      <c r="L80" s="7">
        <f t="shared" si="10"/>
        <v>-0.2405309291339961</v>
      </c>
      <c r="M80">
        <f t="shared" si="16"/>
        <v>1</v>
      </c>
      <c r="N80">
        <f t="shared" si="17"/>
        <v>1</v>
      </c>
      <c r="O80" s="3">
        <f t="shared" si="11"/>
        <v>7921.7849899133853</v>
      </c>
    </row>
    <row r="81" spans="1:15" x14ac:dyDescent="0.25">
      <c r="A81">
        <f>'hours (1)'!A81</f>
        <v>70</v>
      </c>
      <c r="B81">
        <f>'hours (1)'!B81</f>
        <v>943717.2</v>
      </c>
      <c r="C81" s="6">
        <f t="shared" si="5"/>
        <v>0.99028804701996365</v>
      </c>
      <c r="D81" s="6">
        <f t="shared" si="12"/>
        <v>0.96768397374711301</v>
      </c>
      <c r="E81" s="9">
        <f t="shared" si="6"/>
        <v>68.194425019587612</v>
      </c>
      <c r="F81" s="7">
        <f t="shared" si="13"/>
        <v>69.759469070866004</v>
      </c>
      <c r="G81" s="7">
        <f t="shared" si="7"/>
        <v>69.759469070866004</v>
      </c>
      <c r="H81" s="7">
        <f t="shared" si="8"/>
        <v>9.0761407393481958E-2</v>
      </c>
      <c r="I81" s="7">
        <f t="shared" si="9"/>
        <v>2.2017277861491702</v>
      </c>
      <c r="J81" t="b">
        <f t="shared" si="14"/>
        <v>0</v>
      </c>
      <c r="K81" s="7">
        <f t="shared" si="15"/>
        <v>69.759469070866004</v>
      </c>
      <c r="L81" s="7">
        <f t="shared" si="10"/>
        <v>-0.2405309291339961</v>
      </c>
      <c r="M81">
        <f t="shared" si="16"/>
        <v>1</v>
      </c>
      <c r="N81">
        <f t="shared" si="17"/>
        <v>1</v>
      </c>
      <c r="O81" s="3">
        <f t="shared" si="11"/>
        <v>946971.14069047663</v>
      </c>
    </row>
    <row r="82" spans="1:15" x14ac:dyDescent="0.25">
      <c r="A82">
        <f>'hours (1)'!A82</f>
        <v>71</v>
      </c>
      <c r="B82">
        <f>'hours (1)'!B82</f>
        <v>4730.99</v>
      </c>
      <c r="C82" s="6">
        <f t="shared" si="5"/>
        <v>0.99032278034356791</v>
      </c>
      <c r="D82" s="6">
        <f t="shared" si="12"/>
        <v>0.97988349157173937</v>
      </c>
      <c r="E82" s="9">
        <f t="shared" si="6"/>
        <v>69.194425019587612</v>
      </c>
      <c r="F82" s="7">
        <f t="shared" si="13"/>
        <v>70.759469070866004</v>
      </c>
      <c r="G82" s="7">
        <f t="shared" si="7"/>
        <v>70.759469070866004</v>
      </c>
      <c r="H82" s="7">
        <f t="shared" si="8"/>
        <v>8.9464279791119497E-2</v>
      </c>
      <c r="I82" s="7">
        <f t="shared" si="9"/>
        <v>2.281428904031328</v>
      </c>
      <c r="J82" t="b">
        <f t="shared" si="14"/>
        <v>0</v>
      </c>
      <c r="K82" s="7">
        <f t="shared" si="15"/>
        <v>70.759469070866004</v>
      </c>
      <c r="L82" s="7">
        <f t="shared" si="10"/>
        <v>-0.2405309291339961</v>
      </c>
      <c r="M82">
        <f t="shared" si="16"/>
        <v>1</v>
      </c>
      <c r="N82">
        <f t="shared" si="17"/>
        <v>1</v>
      </c>
      <c r="O82" s="3">
        <f t="shared" si="11"/>
        <v>4747.0719383662126</v>
      </c>
    </row>
    <row r="83" spans="1:15" x14ac:dyDescent="0.25">
      <c r="A83">
        <f>'hours (1)'!A83</f>
        <v>72</v>
      </c>
      <c r="B83">
        <f>'hours (1)'!B83</f>
        <v>165626.79999999999</v>
      </c>
      <c r="C83" s="6">
        <f t="shared" si="5"/>
        <v>0.99153875612071884</v>
      </c>
      <c r="D83" s="6">
        <f t="shared" si="12"/>
        <v>0.97994552319330619</v>
      </c>
      <c r="E83" s="9">
        <f t="shared" si="6"/>
        <v>70.194425019587612</v>
      </c>
      <c r="F83" s="7">
        <f t="shared" ref="F83:F103" si="18">$A83-$B$5*$B$12*$B$4*$B$9</f>
        <v>71.759469070866004</v>
      </c>
      <c r="G83" s="7">
        <f t="shared" si="7"/>
        <v>71.759469070866004</v>
      </c>
      <c r="H83" s="7">
        <f t="shared" si="8"/>
        <v>8.8203707369506903E-2</v>
      </c>
      <c r="I83" s="7">
        <f t="shared" si="9"/>
        <v>2.3619655540128308</v>
      </c>
      <c r="J83" t="b">
        <f t="shared" ref="J83:J103" si="19">F83&lt;=$B$14</f>
        <v>0</v>
      </c>
      <c r="K83" s="7">
        <f t="shared" ref="K83:K103" si="20">IF(J83,F83,IF(H83&lt;I83,G83,$B$14))</f>
        <v>71.759469070866004</v>
      </c>
      <c r="L83" s="7">
        <f t="shared" si="10"/>
        <v>-0.2405309291339961</v>
      </c>
      <c r="M83">
        <f t="shared" ref="M83:M103" si="21">IF($A83&gt;$B$15,1,0)</f>
        <v>1</v>
      </c>
      <c r="N83">
        <f t="shared" ref="N83:N103" si="22">IF($K83&gt;$B$15,1,0)</f>
        <v>1</v>
      </c>
      <c r="O83" s="3">
        <f t="shared" si="11"/>
        <v>166181.96531280558</v>
      </c>
    </row>
    <row r="84" spans="1:15" x14ac:dyDescent="0.25">
      <c r="A84">
        <f>'hours (1)'!A84</f>
        <v>73</v>
      </c>
      <c r="B84">
        <f>'hours (1)'!B84</f>
        <v>3488.9050000000002</v>
      </c>
      <c r="C84" s="6">
        <f t="shared" ref="C84:C103" si="23">B84/$B$105+C83</f>
        <v>0.99156437047762713</v>
      </c>
      <c r="D84" s="6">
        <f t="shared" si="12"/>
        <v>0.98214776936130443</v>
      </c>
      <c r="E84" s="9">
        <f t="shared" ref="E84:E103" si="24">$A84-$B$5*((1-$B$16)*$B$4*$B$9+$B$11)</f>
        <v>71.194425019587612</v>
      </c>
      <c r="F84" s="7">
        <f t="shared" si="18"/>
        <v>72.759469070866004</v>
      </c>
      <c r="G84" s="7">
        <f t="shared" ref="G84:G103" si="25">F84+$B$5*$B$13*(1-$B$16-$B$12)</f>
        <v>72.759469070866004</v>
      </c>
      <c r="H84" s="7">
        <f t="shared" ref="H84:H103" si="26">($E84/G84-1+LN(G84/$E84))/$B$5+($B$13+$B$4*$B$9)*(1-$B$16-$B$12)/G84+$B$11/G84</f>
        <v>8.6978166262961745E-2</v>
      </c>
      <c r="I84" s="7">
        <f t="shared" ref="I84:I103" si="27">($E84/$B$14-1+LN($B$14/$E84))/$B$5+$B$4*$B$9*(1-$B$16-$B$12)/$B$14+$B$11/$B$14</f>
        <v>2.4433140970442779</v>
      </c>
      <c r="J84" t="b">
        <f t="shared" si="19"/>
        <v>0</v>
      </c>
      <c r="K84" s="7">
        <f t="shared" si="20"/>
        <v>72.759469070866004</v>
      </c>
      <c r="L84" s="7">
        <f t="shared" ref="L84:L103" si="28">K84-$A84</f>
        <v>-0.2405309291339961</v>
      </c>
      <c r="M84">
        <f t="shared" si="21"/>
        <v>1</v>
      </c>
      <c r="N84">
        <f t="shared" si="22"/>
        <v>1</v>
      </c>
      <c r="O84" s="3">
        <f t="shared" ref="O84:O103" si="29">$B84*$A84/$K84</f>
        <v>3500.4387504798569</v>
      </c>
    </row>
    <row r="85" spans="1:15" x14ac:dyDescent="0.25">
      <c r="A85">
        <f>'hours (1)'!A85</f>
        <v>74</v>
      </c>
      <c r="B85">
        <f>'hours (1)'!B85</f>
        <v>12714.73</v>
      </c>
      <c r="C85" s="6">
        <f t="shared" si="23"/>
        <v>0.99165771771184896</v>
      </c>
      <c r="D85" s="6">
        <f t="shared" ref="D85:D103" si="30">$A84*$B84/$A$105+D84</f>
        <v>0.98219480366939893</v>
      </c>
      <c r="E85" s="9">
        <f t="shared" si="24"/>
        <v>72.194425019587612</v>
      </c>
      <c r="F85" s="7">
        <f t="shared" si="18"/>
        <v>73.759469070866004</v>
      </c>
      <c r="G85" s="7">
        <f t="shared" si="25"/>
        <v>73.759469070866004</v>
      </c>
      <c r="H85" s="7">
        <f t="shared" si="26"/>
        <v>8.5786216148133976E-2</v>
      </c>
      <c r="I85" s="7">
        <f t="shared" si="27"/>
        <v>2.5254518833002746</v>
      </c>
      <c r="J85" t="b">
        <f t="shared" si="19"/>
        <v>0</v>
      </c>
      <c r="K85" s="7">
        <f t="shared" si="20"/>
        <v>73.759469070866004</v>
      </c>
      <c r="L85" s="7">
        <f t="shared" si="28"/>
        <v>-0.2405309291339961</v>
      </c>
      <c r="M85">
        <f t="shared" si="21"/>
        <v>1</v>
      </c>
      <c r="N85">
        <f t="shared" si="22"/>
        <v>1</v>
      </c>
      <c r="O85" s="3">
        <f t="shared" si="29"/>
        <v>12756.19295871042</v>
      </c>
    </row>
    <row r="86" spans="1:15" x14ac:dyDescent="0.25">
      <c r="A86">
        <f>'hours (1)'!A86</f>
        <v>75</v>
      </c>
      <c r="B86">
        <f>'hours (1)'!B86</f>
        <v>126759.7</v>
      </c>
      <c r="C86" s="6">
        <f t="shared" si="23"/>
        <v>0.99258834442635968</v>
      </c>
      <c r="D86" s="6">
        <f t="shared" si="30"/>
        <v>0.98236856039243303</v>
      </c>
      <c r="E86" s="9">
        <f t="shared" si="24"/>
        <v>73.194425019587612</v>
      </c>
      <c r="F86" s="7">
        <f t="shared" si="18"/>
        <v>74.759469070866004</v>
      </c>
      <c r="G86" s="7">
        <f t="shared" si="25"/>
        <v>74.759469070866004</v>
      </c>
      <c r="H86" s="7">
        <f t="shared" si="26"/>
        <v>8.4626494596186236E-2</v>
      </c>
      <c r="I86" s="7">
        <f t="shared" si="27"/>
        <v>2.6083571977431244</v>
      </c>
      <c r="J86" t="b">
        <f t="shared" si="19"/>
        <v>0</v>
      </c>
      <c r="K86" s="7">
        <f t="shared" si="20"/>
        <v>74.759469070866004</v>
      </c>
      <c r="L86" s="7">
        <f t="shared" si="28"/>
        <v>-0.2405309291339961</v>
      </c>
      <c r="M86">
        <f t="shared" si="21"/>
        <v>1</v>
      </c>
      <c r="N86">
        <f t="shared" si="22"/>
        <v>1</v>
      </c>
      <c r="O86" s="3">
        <f t="shared" si="29"/>
        <v>127167.53634229458</v>
      </c>
    </row>
    <row r="87" spans="1:15" x14ac:dyDescent="0.25">
      <c r="A87">
        <f>'hours (1)'!A87</f>
        <v>76</v>
      </c>
      <c r="B87">
        <f>'hours (1)'!B87</f>
        <v>10765.95</v>
      </c>
      <c r="C87" s="6">
        <f t="shared" si="23"/>
        <v>0.99266738437893998</v>
      </c>
      <c r="D87" s="6">
        <f t="shared" si="30"/>
        <v>0.98412423982493324</v>
      </c>
      <c r="E87" s="9">
        <f t="shared" si="24"/>
        <v>74.194425019587612</v>
      </c>
      <c r="F87" s="7">
        <f t="shared" si="18"/>
        <v>75.759469070866004</v>
      </c>
      <c r="G87" s="7">
        <f t="shared" si="25"/>
        <v>75.759469070866004</v>
      </c>
      <c r="H87" s="7">
        <f t="shared" si="26"/>
        <v>8.3497711877056374E-2</v>
      </c>
      <c r="I87" s="7">
        <f t="shared" si="27"/>
        <v>2.6920092093802377</v>
      </c>
      <c r="J87" t="b">
        <f t="shared" si="19"/>
        <v>0</v>
      </c>
      <c r="K87" s="7">
        <f t="shared" si="20"/>
        <v>75.759469070866004</v>
      </c>
      <c r="L87" s="7">
        <f t="shared" si="28"/>
        <v>-0.2405309291339961</v>
      </c>
      <c r="M87">
        <f t="shared" si="21"/>
        <v>1</v>
      </c>
      <c r="N87">
        <f t="shared" si="22"/>
        <v>1</v>
      </c>
      <c r="O87" s="3">
        <f t="shared" si="29"/>
        <v>10800.131125980277</v>
      </c>
    </row>
    <row r="88" spans="1:15" x14ac:dyDescent="0.25">
      <c r="A88">
        <f>'hours (1)'!A88</f>
        <v>77</v>
      </c>
      <c r="B88">
        <f>'hours (1)'!B88</f>
        <v>16431.21</v>
      </c>
      <c r="C88" s="6">
        <f t="shared" si="23"/>
        <v>0.99278801674851591</v>
      </c>
      <c r="D88" s="6">
        <f t="shared" si="30"/>
        <v>0.98427534130076622</v>
      </c>
      <c r="E88" s="9">
        <f t="shared" si="24"/>
        <v>75.194425019587612</v>
      </c>
      <c r="F88" s="7">
        <f t="shared" si="18"/>
        <v>76.759469070866004</v>
      </c>
      <c r="G88" s="7">
        <f t="shared" si="25"/>
        <v>76.759469070866004</v>
      </c>
      <c r="H88" s="7">
        <f t="shared" si="26"/>
        <v>8.2398646174144011E-2</v>
      </c>
      <c r="I88" s="7">
        <f t="shared" si="27"/>
        <v>2.7763879239185312</v>
      </c>
      <c r="J88" t="b">
        <f t="shared" si="19"/>
        <v>0</v>
      </c>
      <c r="K88" s="7">
        <f t="shared" si="20"/>
        <v>76.759469070866004</v>
      </c>
      <c r="L88" s="7">
        <f t="shared" si="28"/>
        <v>-0.2405309291339961</v>
      </c>
      <c r="M88">
        <f t="shared" si="21"/>
        <v>1</v>
      </c>
      <c r="N88">
        <f t="shared" si="22"/>
        <v>1</v>
      </c>
      <c r="O88" s="3">
        <f t="shared" si="29"/>
        <v>16482.698295267481</v>
      </c>
    </row>
    <row r="89" spans="1:15" x14ac:dyDescent="0.25">
      <c r="A89">
        <f>'hours (1)'!A89</f>
        <v>78</v>
      </c>
      <c r="B89">
        <f>'hours (1)'!B89</f>
        <v>12450.61</v>
      </c>
      <c r="C89" s="6">
        <f t="shared" si="23"/>
        <v>0.99287942490329972</v>
      </c>
      <c r="D89" s="6">
        <f t="shared" si="30"/>
        <v>0.98450898981665924</v>
      </c>
      <c r="E89" s="9">
        <f t="shared" si="24"/>
        <v>76.194425019587612</v>
      </c>
      <c r="F89" s="7">
        <f t="shared" si="18"/>
        <v>77.759469070866004</v>
      </c>
      <c r="G89" s="7">
        <f t="shared" si="25"/>
        <v>77.759469070866004</v>
      </c>
      <c r="H89" s="7">
        <f t="shared" si="26"/>
        <v>8.1328139172080732E-2</v>
      </c>
      <c r="I89" s="7">
        <f t="shared" si="27"/>
        <v>2.8614741395465453</v>
      </c>
      <c r="J89" t="b">
        <f t="shared" si="19"/>
        <v>0</v>
      </c>
      <c r="K89" s="7">
        <f t="shared" si="20"/>
        <v>77.759469070866004</v>
      </c>
      <c r="L89" s="7">
        <f t="shared" si="28"/>
        <v>-0.2405309291339961</v>
      </c>
      <c r="M89">
        <f t="shared" si="21"/>
        <v>1</v>
      </c>
      <c r="N89">
        <f t="shared" si="22"/>
        <v>1</v>
      </c>
      <c r="O89" s="3">
        <f t="shared" si="29"/>
        <v>12489.12308178115</v>
      </c>
    </row>
    <row r="90" spans="1:15" x14ac:dyDescent="0.25">
      <c r="A90">
        <f>'hours (1)'!A90</f>
        <v>80</v>
      </c>
      <c r="B90">
        <f>'hours (1)'!B90</f>
        <v>531263.1</v>
      </c>
      <c r="C90" s="6">
        <f t="shared" si="23"/>
        <v>0.99677977835391363</v>
      </c>
      <c r="D90" s="6">
        <f t="shared" si="30"/>
        <v>0.98468833428572189</v>
      </c>
      <c r="E90" s="9">
        <f t="shared" si="24"/>
        <v>78.194425019587612</v>
      </c>
      <c r="F90" s="7">
        <f t="shared" si="18"/>
        <v>79.759469070866004</v>
      </c>
      <c r="G90" s="7">
        <f t="shared" si="25"/>
        <v>79.759469070866004</v>
      </c>
      <c r="H90" s="7">
        <f t="shared" si="26"/>
        <v>7.9268461388812925E-2</v>
      </c>
      <c r="I90" s="7">
        <f t="shared" si="27"/>
        <v>3.0336959838848427</v>
      </c>
      <c r="J90" t="b">
        <f t="shared" si="19"/>
        <v>0</v>
      </c>
      <c r="K90" s="7">
        <f t="shared" si="20"/>
        <v>79.759469070866004</v>
      </c>
      <c r="L90" s="7">
        <f t="shared" si="28"/>
        <v>-0.2405309291339961</v>
      </c>
      <c r="M90">
        <f t="shared" si="21"/>
        <v>1</v>
      </c>
      <c r="N90">
        <f t="shared" si="22"/>
        <v>1</v>
      </c>
      <c r="O90" s="3">
        <f t="shared" si="29"/>
        <v>532865.23211730469</v>
      </c>
    </row>
    <row r="91" spans="1:15" x14ac:dyDescent="0.25">
      <c r="A91">
        <f>'hours (1)'!A91</f>
        <v>82</v>
      </c>
      <c r="B91">
        <f>'hours (1)'!B91</f>
        <v>6209.24</v>
      </c>
      <c r="C91" s="6">
        <f t="shared" si="23"/>
        <v>0.99682536448752557</v>
      </c>
      <c r="D91" s="6">
        <f t="shared" si="30"/>
        <v>0.99253711859527838</v>
      </c>
      <c r="E91" s="9">
        <f t="shared" si="24"/>
        <v>80.194425019587612</v>
      </c>
      <c r="F91" s="7">
        <f t="shared" si="18"/>
        <v>81.759469070866004</v>
      </c>
      <c r="G91" s="7">
        <f t="shared" si="25"/>
        <v>81.759469070866004</v>
      </c>
      <c r="H91" s="7">
        <f t="shared" si="26"/>
        <v>7.7310534791406829E-2</v>
      </c>
      <c r="I91" s="7">
        <f t="shared" si="27"/>
        <v>3.2085354717122749</v>
      </c>
      <c r="J91" t="b">
        <f t="shared" si="19"/>
        <v>0</v>
      </c>
      <c r="K91" s="7">
        <f t="shared" si="20"/>
        <v>81.759469070866004</v>
      </c>
      <c r="L91" s="7">
        <f t="shared" si="28"/>
        <v>-0.2405309291339961</v>
      </c>
      <c r="M91">
        <f t="shared" si="21"/>
        <v>1</v>
      </c>
      <c r="N91">
        <f t="shared" si="22"/>
        <v>1</v>
      </c>
      <c r="O91" s="3">
        <f t="shared" si="29"/>
        <v>6227.5071717831415</v>
      </c>
    </row>
    <row r="92" spans="1:15" x14ac:dyDescent="0.25">
      <c r="A92">
        <f>'hours (1)'!A92</f>
        <v>84</v>
      </c>
      <c r="B92">
        <f>'hours (1)'!B92</f>
        <v>99227.9</v>
      </c>
      <c r="C92" s="6">
        <f t="shared" si="23"/>
        <v>0.99755386206652585</v>
      </c>
      <c r="D92" s="6">
        <f t="shared" si="30"/>
        <v>0.99263114613101999</v>
      </c>
      <c r="E92" s="9">
        <f t="shared" si="24"/>
        <v>82.194425019587612</v>
      </c>
      <c r="F92" s="7">
        <f t="shared" si="18"/>
        <v>83.759469070866004</v>
      </c>
      <c r="G92" s="7">
        <f t="shared" si="25"/>
        <v>83.759469070866004</v>
      </c>
      <c r="H92" s="7">
        <f t="shared" si="26"/>
        <v>7.5447000922929247E-2</v>
      </c>
      <c r="I92" s="7">
        <f t="shared" si="27"/>
        <v>3.3858636261531787</v>
      </c>
      <c r="J92" t="b">
        <f t="shared" si="19"/>
        <v>0</v>
      </c>
      <c r="K92" s="7">
        <f t="shared" si="20"/>
        <v>83.759469070866004</v>
      </c>
      <c r="L92" s="7">
        <f t="shared" si="28"/>
        <v>-0.2405309291339961</v>
      </c>
      <c r="M92">
        <f t="shared" si="21"/>
        <v>1</v>
      </c>
      <c r="N92">
        <f t="shared" si="22"/>
        <v>1</v>
      </c>
      <c r="O92" s="3">
        <f t="shared" si="29"/>
        <v>99512.851412034637</v>
      </c>
    </row>
    <row r="93" spans="1:15" x14ac:dyDescent="0.25">
      <c r="A93">
        <f>'hours (1)'!A93</f>
        <v>85</v>
      </c>
      <c r="B93">
        <f>'hours (1)'!B93</f>
        <v>40490.76</v>
      </c>
      <c r="C93" s="6">
        <f t="shared" si="23"/>
        <v>0.99785113149006377</v>
      </c>
      <c r="D93" s="6">
        <f t="shared" si="30"/>
        <v>0.9941704198050616</v>
      </c>
      <c r="E93" s="9">
        <f t="shared" si="24"/>
        <v>83.194425019587612</v>
      </c>
      <c r="F93" s="7">
        <f t="shared" si="18"/>
        <v>84.759469070866004</v>
      </c>
      <c r="G93" s="7">
        <f t="shared" si="25"/>
        <v>84.759469070866004</v>
      </c>
      <c r="H93" s="7">
        <f t="shared" si="26"/>
        <v>7.4548523452205029E-2</v>
      </c>
      <c r="I93" s="7">
        <f t="shared" si="27"/>
        <v>3.4754232166758889</v>
      </c>
      <c r="J93" t="b">
        <f t="shared" si="19"/>
        <v>0</v>
      </c>
      <c r="K93" s="7">
        <f t="shared" si="20"/>
        <v>84.759469070866004</v>
      </c>
      <c r="L93" s="7">
        <f t="shared" si="28"/>
        <v>-0.2405309291339961</v>
      </c>
      <c r="M93">
        <f t="shared" si="21"/>
        <v>1</v>
      </c>
      <c r="N93">
        <f t="shared" si="22"/>
        <v>1</v>
      </c>
      <c r="O93" s="3">
        <f t="shared" si="29"/>
        <v>40605.664921313262</v>
      </c>
    </row>
    <row r="94" spans="1:15" x14ac:dyDescent="0.25">
      <c r="A94">
        <f>'hours (1)'!A94</f>
        <v>86</v>
      </c>
      <c r="B94">
        <f>'hours (1)'!B94</f>
        <v>3958.3539999999998</v>
      </c>
      <c r="C94" s="6">
        <f t="shared" si="23"/>
        <v>0.99788019238227077</v>
      </c>
      <c r="D94" s="6">
        <f t="shared" si="30"/>
        <v>0.99480601061567997</v>
      </c>
      <c r="E94" s="9">
        <f t="shared" si="24"/>
        <v>84.194425019587612</v>
      </c>
      <c r="F94" s="7">
        <f t="shared" si="18"/>
        <v>85.759469070866004</v>
      </c>
      <c r="G94" s="7">
        <f t="shared" si="25"/>
        <v>85.759469070866004</v>
      </c>
      <c r="H94" s="7">
        <f t="shared" si="26"/>
        <v>7.3671194177859126E-2</v>
      </c>
      <c r="I94" s="7">
        <f t="shared" si="27"/>
        <v>3.5655607740328596</v>
      </c>
      <c r="J94" t="b">
        <f t="shared" si="19"/>
        <v>0</v>
      </c>
      <c r="K94" s="7">
        <f t="shared" si="20"/>
        <v>85.759469070866004</v>
      </c>
      <c r="L94" s="7">
        <f t="shared" si="28"/>
        <v>-0.2405309291339961</v>
      </c>
      <c r="M94">
        <f t="shared" si="21"/>
        <v>1</v>
      </c>
      <c r="N94">
        <f t="shared" si="22"/>
        <v>1</v>
      </c>
      <c r="O94" s="3">
        <f t="shared" si="29"/>
        <v>3969.4560576010617</v>
      </c>
    </row>
    <row r="95" spans="1:15" x14ac:dyDescent="0.25">
      <c r="A95">
        <f>'hours (1)'!A95</f>
        <v>87</v>
      </c>
      <c r="B95">
        <f>'hours (1)'!B95</f>
        <v>2262.6280000000002</v>
      </c>
      <c r="C95" s="6">
        <f t="shared" si="23"/>
        <v>0.99789680382945622</v>
      </c>
      <c r="D95" s="6">
        <f t="shared" si="30"/>
        <v>0.9948688766170537</v>
      </c>
      <c r="E95" s="9">
        <f t="shared" si="24"/>
        <v>85.194425019587612</v>
      </c>
      <c r="F95" s="7">
        <f t="shared" si="18"/>
        <v>86.759469070866004</v>
      </c>
      <c r="G95" s="7">
        <f t="shared" si="25"/>
        <v>86.759469070866004</v>
      </c>
      <c r="H95" s="7">
        <f t="shared" si="26"/>
        <v>7.281427509133348E-2</v>
      </c>
      <c r="I95" s="7">
        <f t="shared" si="27"/>
        <v>3.656262649457461</v>
      </c>
      <c r="J95" t="b">
        <f t="shared" si="19"/>
        <v>0</v>
      </c>
      <c r="K95" s="7">
        <f t="shared" si="20"/>
        <v>86.759469070866004</v>
      </c>
      <c r="L95" s="7">
        <f t="shared" si="28"/>
        <v>-0.2405309291339961</v>
      </c>
      <c r="M95">
        <f t="shared" si="21"/>
        <v>1</v>
      </c>
      <c r="N95">
        <f t="shared" si="22"/>
        <v>1</v>
      </c>
      <c r="O95" s="3">
        <f t="shared" si="29"/>
        <v>2268.900883190192</v>
      </c>
    </row>
    <row r="96" spans="1:15" x14ac:dyDescent="0.25">
      <c r="A96">
        <f>'hours (1)'!A96</f>
        <v>89</v>
      </c>
      <c r="B96">
        <f>'hours (1)'!B96</f>
        <v>1479.48</v>
      </c>
      <c r="C96" s="6">
        <f t="shared" si="23"/>
        <v>0.99790766566970657</v>
      </c>
      <c r="D96" s="6">
        <f t="shared" si="30"/>
        <v>0.9949052291908913</v>
      </c>
      <c r="E96" s="9">
        <f t="shared" si="24"/>
        <v>87.194425019587612</v>
      </c>
      <c r="F96" s="7">
        <f t="shared" si="18"/>
        <v>88.759469070866004</v>
      </c>
      <c r="G96" s="7">
        <f t="shared" si="25"/>
        <v>88.759469070866004</v>
      </c>
      <c r="H96" s="7">
        <f t="shared" si="26"/>
        <v>7.1158883243527399E-2</v>
      </c>
      <c r="I96" s="7">
        <f t="shared" si="27"/>
        <v>3.8393071265928382</v>
      </c>
      <c r="J96" t="b">
        <f t="shared" si="19"/>
        <v>0</v>
      </c>
      <c r="K96" s="7">
        <f t="shared" si="20"/>
        <v>88.759469070866004</v>
      </c>
      <c r="L96" s="7">
        <f t="shared" si="28"/>
        <v>-0.2405309291339961</v>
      </c>
      <c r="M96">
        <f t="shared" si="21"/>
        <v>1</v>
      </c>
      <c r="N96">
        <f t="shared" si="22"/>
        <v>1</v>
      </c>
      <c r="O96" s="3">
        <f t="shared" si="29"/>
        <v>1483.4892702531945</v>
      </c>
    </row>
    <row r="97" spans="1:15" x14ac:dyDescent="0.25">
      <c r="A97">
        <f>'hours (1)'!A97</f>
        <v>90</v>
      </c>
      <c r="B97">
        <f>'hours (1)'!B97</f>
        <v>65667.17</v>
      </c>
      <c r="C97" s="6">
        <f t="shared" si="23"/>
        <v>0.99838977175443477</v>
      </c>
      <c r="D97" s="6">
        <f t="shared" si="30"/>
        <v>0.99492954573545078</v>
      </c>
      <c r="E97" s="9">
        <f t="shared" si="24"/>
        <v>88.194425019587612</v>
      </c>
      <c r="F97" s="7">
        <f t="shared" si="18"/>
        <v>89.759469070866004</v>
      </c>
      <c r="G97" s="7">
        <f t="shared" si="25"/>
        <v>89.759469070866004</v>
      </c>
      <c r="H97" s="7">
        <f t="shared" si="26"/>
        <v>7.0359096602737287E-2</v>
      </c>
      <c r="I97" s="7">
        <f t="shared" si="27"/>
        <v>3.9316247330323693</v>
      </c>
      <c r="J97" t="b">
        <f t="shared" si="19"/>
        <v>0</v>
      </c>
      <c r="K97" s="7">
        <f t="shared" si="20"/>
        <v>89.759469070866004</v>
      </c>
      <c r="L97" s="7">
        <f t="shared" si="28"/>
        <v>-0.2405309291339961</v>
      </c>
      <c r="M97">
        <f t="shared" si="21"/>
        <v>1</v>
      </c>
      <c r="N97">
        <f t="shared" si="22"/>
        <v>1</v>
      </c>
      <c r="O97" s="3">
        <f t="shared" si="29"/>
        <v>65843.140129694395</v>
      </c>
    </row>
    <row r="98" spans="1:15" x14ac:dyDescent="0.25">
      <c r="A98">
        <f>'hours (1)'!A98</f>
        <v>91</v>
      </c>
      <c r="B98">
        <f>'hours (1)'!B98</f>
        <v>8320.6910000000007</v>
      </c>
      <c r="C98" s="6">
        <f t="shared" si="23"/>
        <v>0.99845085944498457</v>
      </c>
      <c r="D98" s="6">
        <f t="shared" si="30"/>
        <v>0.99602096990031863</v>
      </c>
      <c r="E98" s="9">
        <f t="shared" si="24"/>
        <v>89.194425019587612</v>
      </c>
      <c r="F98" s="7">
        <f t="shared" si="18"/>
        <v>90.759469070866004</v>
      </c>
      <c r="G98" s="7">
        <f t="shared" si="25"/>
        <v>90.759469070866004</v>
      </c>
      <c r="H98" s="7">
        <f t="shared" si="26"/>
        <v>6.9577088911993892E-2</v>
      </c>
      <c r="I98" s="7">
        <f t="shared" si="27"/>
        <v>4.024456626586927</v>
      </c>
      <c r="J98" t="b">
        <f t="shared" si="19"/>
        <v>0</v>
      </c>
      <c r="K98" s="7">
        <f t="shared" si="20"/>
        <v>90.759469070866004</v>
      </c>
      <c r="L98" s="7">
        <f t="shared" si="28"/>
        <v>-0.2405309291339961</v>
      </c>
      <c r="M98">
        <f t="shared" si="21"/>
        <v>1</v>
      </c>
      <c r="N98">
        <f t="shared" si="22"/>
        <v>1</v>
      </c>
      <c r="O98" s="3">
        <f t="shared" si="29"/>
        <v>8342.7425121755969</v>
      </c>
    </row>
    <row r="99" spans="1:15" x14ac:dyDescent="0.25">
      <c r="A99">
        <f>'hours (1)'!A99</f>
        <v>94</v>
      </c>
      <c r="B99">
        <f>'hours (1)'!B99</f>
        <v>1838.39</v>
      </c>
      <c r="C99" s="6">
        <f t="shared" si="23"/>
        <v>0.99846435628069563</v>
      </c>
      <c r="D99" s="6">
        <f t="shared" si="30"/>
        <v>0.99616080092556436</v>
      </c>
      <c r="E99" s="9">
        <f t="shared" si="24"/>
        <v>92.194425019587612</v>
      </c>
      <c r="F99" s="7">
        <f t="shared" si="18"/>
        <v>93.759469070866004</v>
      </c>
      <c r="G99" s="7">
        <f t="shared" si="25"/>
        <v>93.759469070866004</v>
      </c>
      <c r="H99" s="7">
        <f t="shared" si="26"/>
        <v>6.7332002412744285E-2</v>
      </c>
      <c r="I99" s="7">
        <f t="shared" si="27"/>
        <v>4.3059252311670448</v>
      </c>
      <c r="J99" t="b">
        <f t="shared" si="19"/>
        <v>0</v>
      </c>
      <c r="K99" s="7">
        <f t="shared" si="20"/>
        <v>93.759469070866004</v>
      </c>
      <c r="L99" s="7">
        <f t="shared" si="28"/>
        <v>-0.2405309291339961</v>
      </c>
      <c r="M99">
        <f t="shared" si="21"/>
        <v>1</v>
      </c>
      <c r="N99">
        <f t="shared" si="22"/>
        <v>1</v>
      </c>
      <c r="O99" s="3">
        <f t="shared" si="29"/>
        <v>1843.106213297629</v>
      </c>
    </row>
    <row r="100" spans="1:15" x14ac:dyDescent="0.25">
      <c r="A100">
        <f>'hours (1)'!A100</f>
        <v>95</v>
      </c>
      <c r="B100">
        <f>'hours (1)'!B100</f>
        <v>4809.4799999999996</v>
      </c>
      <c r="C100" s="6">
        <f t="shared" si="23"/>
        <v>0.99849966585125238</v>
      </c>
      <c r="D100" s="6">
        <f t="shared" si="30"/>
        <v>0.99619271397154774</v>
      </c>
      <c r="E100" s="9">
        <f t="shared" si="24"/>
        <v>93.194425019587612</v>
      </c>
      <c r="F100" s="7">
        <f t="shared" si="18"/>
        <v>94.759469070866004</v>
      </c>
      <c r="G100" s="7">
        <f t="shared" si="25"/>
        <v>94.759469070866004</v>
      </c>
      <c r="H100" s="7">
        <f t="shared" si="26"/>
        <v>6.6615495505986583E-2</v>
      </c>
      <c r="I100" s="7">
        <f t="shared" si="27"/>
        <v>4.4007033058633525</v>
      </c>
      <c r="J100" t="b">
        <f t="shared" si="19"/>
        <v>0</v>
      </c>
      <c r="K100" s="7">
        <f t="shared" si="20"/>
        <v>94.759469070866004</v>
      </c>
      <c r="L100" s="7">
        <f t="shared" si="28"/>
        <v>-0.2405309291339961</v>
      </c>
      <c r="M100">
        <f t="shared" si="21"/>
        <v>1</v>
      </c>
      <c r="N100">
        <f t="shared" si="22"/>
        <v>1</v>
      </c>
      <c r="O100" s="3">
        <f t="shared" si="29"/>
        <v>4821.6880537638535</v>
      </c>
    </row>
    <row r="101" spans="1:15" x14ac:dyDescent="0.25">
      <c r="A101">
        <f>'hours (1)'!A101</f>
        <v>96</v>
      </c>
      <c r="B101">
        <f>'hours (1)'!B101</f>
        <v>21508.49</v>
      </c>
      <c r="C101" s="6">
        <f t="shared" si="23"/>
        <v>0.9986575738881347</v>
      </c>
      <c r="D101" s="6">
        <f t="shared" si="30"/>
        <v>0.99627709104997431</v>
      </c>
      <c r="E101" s="9">
        <f t="shared" si="24"/>
        <v>94.194425019587612</v>
      </c>
      <c r="F101" s="7">
        <f t="shared" si="18"/>
        <v>95.759469070866004</v>
      </c>
      <c r="G101" s="7">
        <f t="shared" si="25"/>
        <v>95.759469070866004</v>
      </c>
      <c r="H101" s="7">
        <f t="shared" si="26"/>
        <v>6.5914077651717307E-2</v>
      </c>
      <c r="I101" s="7">
        <f t="shared" si="27"/>
        <v>4.4959419606154754</v>
      </c>
      <c r="J101" t="b">
        <f t="shared" si="19"/>
        <v>0</v>
      </c>
      <c r="K101" s="7">
        <f t="shared" si="20"/>
        <v>95.759469070866004</v>
      </c>
      <c r="L101" s="7">
        <f t="shared" si="28"/>
        <v>-0.2405309291339961</v>
      </c>
      <c r="M101">
        <f t="shared" si="21"/>
        <v>1</v>
      </c>
      <c r="N101">
        <f t="shared" si="22"/>
        <v>1</v>
      </c>
      <c r="O101" s="3">
        <f t="shared" si="29"/>
        <v>21562.515540598401</v>
      </c>
    </row>
    <row r="102" spans="1:15" x14ac:dyDescent="0.25">
      <c r="A102">
        <f>'hours (1)'!A102</f>
        <v>98</v>
      </c>
      <c r="B102">
        <f>'hours (1)'!B102</f>
        <v>7515.9690000000001</v>
      </c>
      <c r="C102" s="6">
        <f t="shared" si="23"/>
        <v>0.99871275358276035</v>
      </c>
      <c r="D102" s="6">
        <f t="shared" si="30"/>
        <v>0.99665840606809075</v>
      </c>
      <c r="E102" s="9">
        <f t="shared" si="24"/>
        <v>96.194425019587612</v>
      </c>
      <c r="F102" s="7">
        <f t="shared" si="18"/>
        <v>97.759469070866004</v>
      </c>
      <c r="G102" s="7">
        <f t="shared" si="25"/>
        <v>97.759469070866004</v>
      </c>
      <c r="H102" s="7">
        <f t="shared" si="26"/>
        <v>6.4554641803998974E-2</v>
      </c>
      <c r="I102" s="7">
        <f t="shared" si="27"/>
        <v>4.687762403323525</v>
      </c>
      <c r="J102" t="b">
        <f t="shared" si="19"/>
        <v>0</v>
      </c>
      <c r="K102" s="7">
        <f t="shared" si="20"/>
        <v>97.759469070866004</v>
      </c>
      <c r="L102" s="7">
        <f t="shared" si="28"/>
        <v>-0.2405309291339961</v>
      </c>
      <c r="M102">
        <f t="shared" si="21"/>
        <v>1</v>
      </c>
      <c r="N102">
        <f t="shared" si="22"/>
        <v>1</v>
      </c>
      <c r="O102" s="3">
        <f t="shared" si="29"/>
        <v>7534.4615616320798</v>
      </c>
    </row>
    <row r="103" spans="1:15" x14ac:dyDescent="0.25">
      <c r="A103">
        <f>'hours (1)'!A103</f>
        <v>99</v>
      </c>
      <c r="B103">
        <f>'hours (1)'!B103</f>
        <v>175334.5</v>
      </c>
      <c r="C103">
        <f t="shared" si="23"/>
        <v>1</v>
      </c>
      <c r="D103" s="6">
        <f t="shared" si="30"/>
        <v>0.99679442952607034</v>
      </c>
      <c r="E103" s="9">
        <f t="shared" si="24"/>
        <v>97.194425019587612</v>
      </c>
      <c r="F103" s="7">
        <f t="shared" si="18"/>
        <v>98.759469070866004</v>
      </c>
      <c r="G103" s="7">
        <f t="shared" si="25"/>
        <v>98.759469070866004</v>
      </c>
      <c r="H103" s="7">
        <f t="shared" si="26"/>
        <v>6.3895737813760914E-2</v>
      </c>
      <c r="I103" s="7">
        <f t="shared" si="27"/>
        <v>4.7843256376347316</v>
      </c>
      <c r="J103" t="b">
        <f t="shared" si="19"/>
        <v>0</v>
      </c>
      <c r="K103" s="7">
        <f t="shared" si="20"/>
        <v>98.759469070866004</v>
      </c>
      <c r="L103" s="7">
        <f t="shared" si="28"/>
        <v>-0.2405309291339961</v>
      </c>
      <c r="M103">
        <f t="shared" si="21"/>
        <v>1</v>
      </c>
      <c r="N103">
        <f t="shared" si="22"/>
        <v>1</v>
      </c>
      <c r="O103" s="3">
        <f t="shared" si="29"/>
        <v>175761.5311555035</v>
      </c>
    </row>
    <row r="105" spans="1:15" x14ac:dyDescent="0.25">
      <c r="A105" s="3">
        <f>SUMPRODUCT($A$19:$A$103,$B$19:$B$103)</f>
        <v>5414984833.7980003</v>
      </c>
      <c r="B105" s="3">
        <f>SUM(B19:B103)</f>
        <v>136208963.29699999</v>
      </c>
    </row>
  </sheetData>
  <mergeCells count="2">
    <mergeCell ref="F17:G17"/>
    <mergeCell ref="H17:I17"/>
  </mergeCells>
  <dataValidations count="1">
    <dataValidation type="whole" allowBlank="1" showInputMessage="1" showErrorMessage="1" sqref="C1">
      <formula1>1</formula1>
      <formula2>4</formula2>
    </dataValidation>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3"/>
  <sheetViews>
    <sheetView zoomScale="125" zoomScaleNormal="125" zoomScalePageLayoutView="125" workbookViewId="0"/>
  </sheetViews>
  <sheetFormatPr defaultColWidth="11" defaultRowHeight="15.75" x14ac:dyDescent="0.25"/>
  <cols>
    <col min="1" max="1" width="32.375" bestFit="1" customWidth="1"/>
    <col min="2" max="2" width="6" customWidth="1"/>
    <col min="3" max="3" width="9.625" bestFit="1" customWidth="1"/>
    <col min="4" max="4" width="9.625" customWidth="1"/>
    <col min="6" max="6" width="6" customWidth="1"/>
    <col min="7" max="7" width="8.375" customWidth="1"/>
    <col min="8" max="9" width="9.625" customWidth="1"/>
    <col min="10" max="10" width="6.875" bestFit="1" customWidth="1"/>
    <col min="11" max="11" width="6.875" customWidth="1"/>
    <col min="12" max="15" width="6.875" hidden="1" customWidth="1"/>
    <col min="16" max="16" width="7.125" customWidth="1"/>
    <col min="17" max="17" width="6" customWidth="1"/>
    <col min="18" max="18" width="8.375" customWidth="1"/>
    <col min="19" max="21" width="7.125" customWidth="1"/>
    <col min="23" max="23" width="8.625" bestFit="1" customWidth="1"/>
    <col min="24" max="24" width="7.625" bestFit="1" customWidth="1"/>
    <col min="25" max="25" width="8" bestFit="1" customWidth="1"/>
    <col min="26" max="26" width="9.125" bestFit="1" customWidth="1"/>
    <col min="27" max="27" width="9.125" customWidth="1"/>
  </cols>
  <sheetData>
    <row r="1" spans="1:28" x14ac:dyDescent="0.25">
      <c r="A1" s="5" t="str">
        <f>"Sectors: "&amp;VLOOKUP($C$1,ParametersTax!$B$16:$G$20,6)&amp;" group"</f>
        <v>Sectors: Subsidy slide, no penalty group</v>
      </c>
      <c r="C1">
        <f>'hours (2)'!$C$1</f>
        <v>2</v>
      </c>
    </row>
    <row r="3" spans="1:28" x14ac:dyDescent="0.25">
      <c r="A3" s="1" t="s">
        <v>0</v>
      </c>
      <c r="F3" s="10" t="s">
        <v>33</v>
      </c>
      <c r="G3" s="10" t="s">
        <v>34</v>
      </c>
      <c r="H3" s="10" t="s">
        <v>46</v>
      </c>
      <c r="I3" s="11" t="s">
        <v>60</v>
      </c>
    </row>
    <row r="4" spans="1:28" x14ac:dyDescent="0.25">
      <c r="A4" t="s">
        <v>2</v>
      </c>
      <c r="B4" s="9">
        <f>ParametersOther!$B$4</f>
        <v>9.4905032911790893E-2</v>
      </c>
      <c r="E4" t="s">
        <v>35</v>
      </c>
      <c r="F4" s="6">
        <f>ParametersTax!$B$25</f>
        <v>0.85314373116775044</v>
      </c>
      <c r="G4" s="6">
        <f>$B$8*($R$16^($B$7/($B$7-1)))</f>
        <v>0.85314373742018812</v>
      </c>
      <c r="H4">
        <f>(1-G4/F4)^2</f>
        <v>5.3709900355437706E-17</v>
      </c>
      <c r="I4" s="6">
        <f>LN(G4)</f>
        <v>-0.15882723757359074</v>
      </c>
    </row>
    <row r="5" spans="1:28" x14ac:dyDescent="0.25">
      <c r="A5" t="s">
        <v>1</v>
      </c>
      <c r="B5" s="9">
        <f>ParametersOther!$B$5</f>
        <v>0.25</v>
      </c>
      <c r="E5" t="s">
        <v>36</v>
      </c>
      <c r="F5" s="6">
        <f>ParametersTax!$B$31</f>
        <v>0.67383493273140516</v>
      </c>
      <c r="G5" s="6">
        <f>$K$14</f>
        <v>0.67383494273686373</v>
      </c>
      <c r="I5" s="6">
        <f>LN(K14/F14)</f>
        <v>-0.15608563184904906</v>
      </c>
    </row>
    <row r="6" spans="1:28" x14ac:dyDescent="0.25">
      <c r="A6" t="s">
        <v>27</v>
      </c>
      <c r="B6" s="29">
        <f>ParametersOther!B6</f>
        <v>0.5</v>
      </c>
      <c r="E6" t="s">
        <v>37</v>
      </c>
      <c r="F6" s="9">
        <f>(F4/$B$8)^(1/$B$7)</f>
        <v>5.8238057454599526</v>
      </c>
    </row>
    <row r="7" spans="1:28" x14ac:dyDescent="0.25">
      <c r="A7" t="s">
        <v>38</v>
      </c>
      <c r="B7" s="7">
        <f>ParametersOther!B7</f>
        <v>2</v>
      </c>
      <c r="F7" s="9"/>
    </row>
    <row r="8" spans="1:28" x14ac:dyDescent="0.25">
      <c r="A8" t="s">
        <v>26</v>
      </c>
      <c r="B8" s="9">
        <f>ParametersOther!B8</f>
        <v>2.5154080293418805E-2</v>
      </c>
      <c r="E8" t="s">
        <v>61</v>
      </c>
      <c r="G8">
        <f>G4/$P$16</f>
        <v>2.5144897489063428E-2</v>
      </c>
      <c r="I8" s="28">
        <f>LN(G8/B8)</f>
        <v>-3.6512886989899972E-4</v>
      </c>
    </row>
    <row r="9" spans="1:28" x14ac:dyDescent="0.25">
      <c r="A9" t="s">
        <v>3</v>
      </c>
      <c r="B9" s="7">
        <f>'hours (2)'!B9</f>
        <v>43.288296761716524</v>
      </c>
      <c r="E9" t="s">
        <v>65</v>
      </c>
      <c r="G9" s="29">
        <f>SUMPRODUCT($P$19:$P$103,$U$19:$U$103)/SUM($P$19:$P$103)</f>
        <v>0.59365535999967989</v>
      </c>
    </row>
    <row r="10" spans="1:28" x14ac:dyDescent="0.25">
      <c r="A10" t="s">
        <v>17</v>
      </c>
      <c r="B10" s="7">
        <f>'hours (2)'!B10</f>
        <v>22.693124757509004</v>
      </c>
    </row>
    <row r="11" spans="1:28" x14ac:dyDescent="0.25">
      <c r="A11" t="s">
        <v>6</v>
      </c>
      <c r="B11" s="7">
        <f>ParametersOther!B16</f>
        <v>4.1410920000000004</v>
      </c>
    </row>
    <row r="12" spans="1:28" x14ac:dyDescent="0.25">
      <c r="A12" t="s">
        <v>7</v>
      </c>
      <c r="B12" s="14">
        <f>VLOOKUP($C$1,ParametersTax!$B$16:$E$20,3)</f>
        <v>0.23419152674892524</v>
      </c>
    </row>
    <row r="13" spans="1:28" x14ac:dyDescent="0.25">
      <c r="A13" t="s">
        <v>39</v>
      </c>
      <c r="B13" s="7">
        <f>VLOOKUP($C$1,ParametersTax!$B$16:$E$20,2)</f>
        <v>0</v>
      </c>
      <c r="S13" s="6"/>
      <c r="T13" s="6"/>
      <c r="U13" s="6"/>
    </row>
    <row r="14" spans="1:28" x14ac:dyDescent="0.25">
      <c r="A14" t="s">
        <v>9</v>
      </c>
      <c r="B14" s="7">
        <f>ParametersOther!$B$11</f>
        <v>29</v>
      </c>
      <c r="F14" s="23">
        <f>1-$E$16*$B$15</f>
        <v>0.78766338381257994</v>
      </c>
      <c r="G14" s="104" t="s">
        <v>55</v>
      </c>
      <c r="H14" s="104"/>
      <c r="I14" s="104"/>
      <c r="J14" s="104"/>
      <c r="K14" s="23">
        <f>$Y$16</f>
        <v>0.67383494273686373</v>
      </c>
      <c r="P14" s="17">
        <f>MAX(ABS(MIN(O$19:O$103)),MAX(O$19:O$103))</f>
        <v>9.009753945015575E-3</v>
      </c>
      <c r="S14" s="6"/>
      <c r="T14" s="6"/>
      <c r="U14" s="6"/>
    </row>
    <row r="15" spans="1:28" x14ac:dyDescent="0.25">
      <c r="A15" t="s">
        <v>25</v>
      </c>
      <c r="B15" s="7">
        <f>ParametersOther!$B$19</f>
        <v>39.754981630619795</v>
      </c>
      <c r="C15" s="102" t="s">
        <v>28</v>
      </c>
      <c r="D15" s="102"/>
      <c r="E15" s="102"/>
      <c r="F15" s="102"/>
      <c r="G15" s="102"/>
      <c r="H15" s="95" t="s">
        <v>29</v>
      </c>
      <c r="I15" s="95"/>
      <c r="J15" s="95"/>
      <c r="K15" s="95"/>
      <c r="L15" s="95"/>
      <c r="M15" s="95"/>
      <c r="N15" s="95"/>
      <c r="O15" s="95"/>
      <c r="P15" s="95"/>
      <c r="Q15" s="95"/>
      <c r="R15" s="95"/>
      <c r="S15" s="95"/>
      <c r="T15" s="95"/>
      <c r="U15" s="95"/>
      <c r="V15" s="95"/>
      <c r="W15" s="95"/>
      <c r="X15" s="95"/>
    </row>
    <row r="16" spans="1:28" x14ac:dyDescent="0.25">
      <c r="A16" t="s">
        <v>68</v>
      </c>
      <c r="B16" s="14">
        <f>ParametersOther!$B$21</f>
        <v>0.25</v>
      </c>
      <c r="C16" s="24">
        <f>SUMPRODUCT(C$19:C$103,$D$19:$D$103)/COUNT($D$19:$D$103)</f>
        <v>39.754981630619874</v>
      </c>
      <c r="D16" s="25">
        <f>SUMPRODUCT($A$19:$A$103,D$19:D$103)</f>
        <v>1</v>
      </c>
      <c r="E16" s="45">
        <f>SUMPRODUCT($A$19:$A$103,E$19:E$103)</f>
        <v>5.3411322928112155E-3</v>
      </c>
      <c r="F16" s="45">
        <f>SUMPRODUCT($A$19:$A$103,F$19:F$103)</f>
        <v>4.6912770354079047E-3</v>
      </c>
      <c r="G16" s="9"/>
      <c r="H16" s="7">
        <f>SUMPRODUCT($A$19:$A$103,$D$19:$D$103,H$19:H$103)</f>
        <v>39.514450701485785</v>
      </c>
      <c r="I16" s="9">
        <f>SUMPRODUCT($A$19:$A$103,$Q$19:$Q$103,I$19:I$103)</f>
        <v>0</v>
      </c>
      <c r="J16" s="9">
        <f>SUMPRODUCT($A$19:$A$103,J$19:J$103)</f>
        <v>0.1622177840449498</v>
      </c>
      <c r="K16" s="6">
        <f>SUMPRODUCT($A$19:$A$103,K$19:K$103)</f>
        <v>4.0804391648871377E-3</v>
      </c>
      <c r="P16" s="7">
        <f>SUMPRODUCT($A$19:$A$103,P$19:P$103)</f>
        <v>33.929099841876713</v>
      </c>
      <c r="Q16" s="9">
        <f>SUMPRODUCT($A$19:$A$103,Q$19:Q$103)</f>
        <v>0.84968599588552729</v>
      </c>
      <c r="R16" s="9">
        <f>SUMPRODUCT($A$19:$A$103,R$19:R$103)</f>
        <v>5.8238057668004259</v>
      </c>
      <c r="S16" s="6"/>
      <c r="T16" s="6"/>
      <c r="U16" s="6"/>
      <c r="V16" s="6">
        <f>LN($H$16/$C$16)</f>
        <v>-6.0687117410057308E-3</v>
      </c>
      <c r="W16" s="6">
        <f>LN($Q$16/$D$16)</f>
        <v>-0.16288841435416029</v>
      </c>
      <c r="X16" s="6">
        <f>LN(P16/$B$15)</f>
        <v>-0.15846210870369168</v>
      </c>
      <c r="Y16" s="9">
        <f>SUMPRODUCT($A$19:$A$103,Y$19:Y$103)</f>
        <v>0.67383494273686373</v>
      </c>
      <c r="AB16" s="9"/>
    </row>
    <row r="17" spans="1:30" x14ac:dyDescent="0.25">
      <c r="C17" s="24"/>
      <c r="D17" s="26"/>
      <c r="E17" s="105" t="s">
        <v>115</v>
      </c>
      <c r="F17" s="105"/>
      <c r="G17" s="17"/>
      <c r="H17" s="7">
        <f>SUMPRODUCT($A$19:$A$103,$Q$19:$Q$103,H$19:H$103)</f>
        <v>33.929099841876713</v>
      </c>
      <c r="I17" s="22" t="s">
        <v>53</v>
      </c>
      <c r="J17" s="17" t="s">
        <v>44</v>
      </c>
      <c r="K17" s="17" t="s">
        <v>42</v>
      </c>
      <c r="L17" s="20">
        <f>($B$15*(1-$B$12-0.5*$B$13/$B$9)^$B$6)^(1/$B$7)</f>
        <v>5.8982859089102293</v>
      </c>
      <c r="M17" s="17"/>
      <c r="N17" s="17"/>
      <c r="P17" s="7">
        <f>SUMPRODUCT($A$19:$A$103,P$19:P$103,$AC$19:$AC$103)</f>
        <v>14.83248967998415</v>
      </c>
      <c r="Q17" s="9">
        <f>SUMPRODUCT($A$19:$A$103,Q$19:Q$103,$AC$19:$AC$103)</f>
        <v>0.39452929480104493</v>
      </c>
      <c r="R17" t="s">
        <v>56</v>
      </c>
      <c r="V17" s="6">
        <f>SUMPRODUCT($A$19:$A$103,V$19:V$103)</f>
        <v>-6.0709620804598836E-3</v>
      </c>
      <c r="W17" s="6">
        <f t="shared" ref="W17:X17" si="0">SUMPRODUCT($A$19:$A$103,W$19:W$103)</f>
        <v>-0.15318598382302012</v>
      </c>
      <c r="X17" s="6">
        <f t="shared" si="0"/>
        <v>-0.15925694590348</v>
      </c>
      <c r="Y17" s="95" t="s">
        <v>58</v>
      </c>
      <c r="Z17" s="95"/>
      <c r="AA17" s="31"/>
    </row>
    <row r="18" spans="1:30" x14ac:dyDescent="0.25">
      <c r="A18" s="12" t="s">
        <v>193</v>
      </c>
      <c r="B18" s="10" t="s">
        <v>8</v>
      </c>
      <c r="C18" s="27" t="s">
        <v>30</v>
      </c>
      <c r="D18" s="27" t="s">
        <v>32</v>
      </c>
      <c r="E18" s="27" t="s">
        <v>116</v>
      </c>
      <c r="F18" s="27" t="s">
        <v>117</v>
      </c>
      <c r="G18" s="27" t="s">
        <v>69</v>
      </c>
      <c r="H18" s="10" t="s">
        <v>30</v>
      </c>
      <c r="I18" s="10" t="s">
        <v>40</v>
      </c>
      <c r="J18" s="10" t="s">
        <v>43</v>
      </c>
      <c r="K18" s="10" t="s">
        <v>43</v>
      </c>
      <c r="L18" s="10" t="s">
        <v>50</v>
      </c>
      <c r="M18" s="10" t="s">
        <v>51</v>
      </c>
      <c r="N18" s="10" t="s">
        <v>52</v>
      </c>
      <c r="O18" s="10" t="s">
        <v>45</v>
      </c>
      <c r="P18" s="10" t="s">
        <v>31</v>
      </c>
      <c r="Q18" s="10" t="s">
        <v>32</v>
      </c>
      <c r="R18" s="10" t="s">
        <v>57</v>
      </c>
      <c r="S18" s="11" t="s">
        <v>62</v>
      </c>
      <c r="T18" s="10" t="s">
        <v>63</v>
      </c>
      <c r="U18" s="10" t="s">
        <v>64</v>
      </c>
      <c r="V18" s="10" t="s">
        <v>47</v>
      </c>
      <c r="W18" s="10" t="s">
        <v>48</v>
      </c>
      <c r="X18" s="10" t="s">
        <v>49</v>
      </c>
      <c r="Y18" s="10" t="s">
        <v>59</v>
      </c>
      <c r="Z18" s="10"/>
      <c r="AA18" s="10" t="s">
        <v>97</v>
      </c>
      <c r="AB18" s="10" t="s">
        <v>66</v>
      </c>
      <c r="AC18" s="11" t="s">
        <v>119</v>
      </c>
      <c r="AD18" s="10" t="s">
        <v>120</v>
      </c>
    </row>
    <row r="19" spans="1:30" x14ac:dyDescent="0.25">
      <c r="A19" s="39">
        <f>'hours (1)'!$A19*'hours (1)'!$B19/'hours (1)'!$A$105</f>
        <v>8.5148840514222583E-4</v>
      </c>
      <c r="B19" s="9">
        <f>'hours (2)'!$E19</f>
        <v>6.1944250195876105</v>
      </c>
      <c r="C19" s="26">
        <f>$B$5*($B$4*$B$9*(1-$B$16)+$B$11)+$B19</f>
        <v>8</v>
      </c>
      <c r="D19" s="25">
        <f t="shared" ref="D19:D82" si="1">$B$15/$C19</f>
        <v>4.9693727038274744</v>
      </c>
      <c r="E19" s="25">
        <f>(($B$4*$B$9+$B$11)/$C19+($B19/$C19-1+LN($C19/$B19))/$B$5)*$B$8</f>
        <v>2.8966207360624489E-2</v>
      </c>
      <c r="F19" s="25">
        <f t="shared" ref="F19:F82" si="2">(((1-$B$16)*$B$4*$B$9+$B$11)/$C19+($B19/$C19-1+LN($C19/$B19))/$B$5)*$B$8</f>
        <v>2.5736834383045692E-2</v>
      </c>
      <c r="G19" s="30">
        <f t="shared" ref="G19:G82" si="3">((1-$B$16)*$B$8-$F19)*$F$5/($F$14*$B$15^(1/$B$6))</f>
        <v>-3.7193498236743811E-6</v>
      </c>
      <c r="H19" s="9">
        <f>'hours (2)'!$K19</f>
        <v>7.7594690708660021</v>
      </c>
      <c r="I19" s="7">
        <f t="shared" ref="I19:I82" si="4">IF($H19&gt;$B$14,1,0)*$B$13</f>
        <v>0</v>
      </c>
      <c r="J19" s="9">
        <f t="shared" ref="J19:J82" si="5">(1-$B$16-$B$12)*($B$4*$B$9+$I19)/$H19+$B$11/$H19+($B19/$H19-1+LN($H19/$B19))/$B$5</f>
        <v>0.90105686401544782</v>
      </c>
      <c r="K19" s="18">
        <f>J19*$B$8</f>
        <v>2.2665256706380723E-2</v>
      </c>
      <c r="L19" s="19">
        <f t="shared" ref="L19:L82" si="6">$G19*($L$17^(($B$7+$B$6)/$B$6))+($K19*$L$17)-(1-$B$16-$B$12)*$B$8*(($F$4/$B$8)^(1/$B$7))</f>
        <v>3.1572171017512432E-2</v>
      </c>
      <c r="M19" s="19">
        <f t="shared" ref="M19:M83" si="7">$G19*($B$7+$B$6)*($L$17^($B$7/$B$6))/$B$6+$K19</f>
        <v>1.5708012007667818E-4</v>
      </c>
      <c r="N19" s="19">
        <f t="shared" ref="N19:N83" si="8">$G19*($B$7+$B$6)*$B$7*($L$17^($B$7/$B$6-1))/($B$6^2)</f>
        <v>-1.5264215356059379E-2</v>
      </c>
      <c r="O19" s="19">
        <f t="shared" ref="O19:O82" si="9">$G19*(P19^(1/$B$7+1/$B$6))+($K19*P19^(1/$B$7))-(1-$B$16-$B$12)*$B$8*(($F$4/$B$8)^(1/$B$7))</f>
        <v>9.009753945015575E-3</v>
      </c>
      <c r="P19" s="21">
        <f t="shared" ref="P19:P82" si="10">($L$17-(M19/N19)*(1-SQRT(1-2*L19*N19/(M19^2))))^$B$7</f>
        <v>15.012903536357568</v>
      </c>
      <c r="Q19" s="9">
        <f>$P19/$H19</f>
        <v>1.934784893044498</v>
      </c>
      <c r="R19" s="9">
        <f t="shared" ref="R19:R82" si="11">$P19^(($B$7-1)/$B$7)</f>
        <v>3.8746488274884432</v>
      </c>
      <c r="S19" s="6">
        <f>$B$8*($G$4/($B$8*$P19))^(1/$B$7)</f>
        <v>3.7807936768899431E-2</v>
      </c>
      <c r="T19" s="6">
        <f t="shared" ref="T19:T82" si="12">S19-($B$4*$B$9*$B$8/$H19)</f>
        <v>2.4490023605159211E-2</v>
      </c>
      <c r="U19" s="6">
        <f t="shared" ref="U19:U82" si="13">$B$6*T19/(T19-$B$8*$B$11/$H19-($B19/$H19-1+LN($H19/$B19))*$B$8/$B$5)</f>
        <v>1.4084019469720168</v>
      </c>
      <c r="V19" s="6">
        <f t="shared" ref="V19:V82" si="14">LN(H19/C19)</f>
        <v>-3.0527628528209536E-2</v>
      </c>
      <c r="W19" s="6">
        <f t="shared" ref="W19:W82" si="15">LN(Q19/D19)</f>
        <v>-0.94329746169182083</v>
      </c>
      <c r="X19" s="6">
        <f t="shared" ref="X19:X82" si="16">LN(P19/$B$15)</f>
        <v>-0.97382509022003039</v>
      </c>
      <c r="Y19">
        <f t="shared" ref="Y19:Y82" si="17">$G$4-($B$4*$B$9+$B$11+($B19-$H19+$H19*LN($H19/$B19))/$B$5)*$B$8*$Q19</f>
        <v>0.41606290681154534</v>
      </c>
      <c r="AA19" s="43">
        <f>ROUND($H19,0)</f>
        <v>8</v>
      </c>
      <c r="AB19" s="6">
        <f>$Q19*$A19/$Q$16</f>
        <v>1.9388890847315805E-3</v>
      </c>
      <c r="AC19" s="6">
        <f>VLOOKUP($C19,'hours (1)'!$A$19:$P$103,16)</f>
        <v>0.65945741368532951</v>
      </c>
      <c r="AD19" s="6">
        <f>$Q19*$A19*AC19/$Q$17</f>
        <v>2.753714586136281E-3</v>
      </c>
    </row>
    <row r="20" spans="1:30" x14ac:dyDescent="0.25">
      <c r="A20" s="39">
        <f>'hours (1)'!$A20*'hours (1)'!$B20/'hours (1)'!$A$105</f>
        <v>1.156853932609497E-4</v>
      </c>
      <c r="B20" s="9">
        <f>'hours (2)'!$E20</f>
        <v>7.1944250195876105</v>
      </c>
      <c r="C20" s="26">
        <f t="shared" ref="C20:C83" si="18">$B$5*($B$4*$B$9*(1-$B$16)+$B$11)+$B20</f>
        <v>9</v>
      </c>
      <c r="D20" s="25">
        <f t="shared" si="1"/>
        <v>4.4172201811799772</v>
      </c>
      <c r="E20" s="25">
        <f t="shared" ref="E20:E83" si="19">(($B$4*$B$9+$B$11)/$C20+($B20/$C20-1+LN($C20/$B20))/$B$5)*$B$8</f>
        <v>2.5400374665029157E-2</v>
      </c>
      <c r="F20" s="25">
        <f t="shared" si="2"/>
        <v>2.2529820907181339E-2</v>
      </c>
      <c r="G20" s="30">
        <f t="shared" si="3"/>
        <v>-1.9834265111920229E-6</v>
      </c>
      <c r="H20" s="9">
        <f>'hours (2)'!$K20</f>
        <v>8.7594690708660021</v>
      </c>
      <c r="I20" s="7">
        <f t="shared" si="4"/>
        <v>0</v>
      </c>
      <c r="J20" s="9">
        <f t="shared" si="5"/>
        <v>0.78731548601291079</v>
      </c>
      <c r="K20" s="18">
        <f t="shared" ref="K20:K83" si="20">J20*$B$8</f>
        <v>1.980419695142081E-2</v>
      </c>
      <c r="L20" s="19">
        <f t="shared" si="6"/>
        <v>2.7089342835466643E-2</v>
      </c>
      <c r="M20" s="19">
        <f t="shared" si="7"/>
        <v>7.8012081828721554E-3</v>
      </c>
      <c r="N20" s="19">
        <f t="shared" si="8"/>
        <v>-8.1399843642142693E-3</v>
      </c>
      <c r="O20" s="19">
        <f t="shared" si="9"/>
        <v>3.4138846468771966E-3</v>
      </c>
      <c r="P20" s="21">
        <f t="shared" si="10"/>
        <v>16.84700732161188</v>
      </c>
      <c r="Q20" s="9">
        <f t="shared" ref="Q20:Q83" si="21">$P20/$H20</f>
        <v>1.9232909192687297</v>
      </c>
      <c r="R20" s="9">
        <f t="shared" si="11"/>
        <v>4.1045106068338866</v>
      </c>
      <c r="S20" s="6">
        <f t="shared" ref="S20:S83" si="22">$B$8*($G$4/($B$8*$P20))^(1/$B$7)</f>
        <v>3.569060770057892E-2</v>
      </c>
      <c r="T20" s="6">
        <f t="shared" si="12"/>
        <v>2.3893096407773505E-2</v>
      </c>
      <c r="U20" s="6">
        <f t="shared" si="13"/>
        <v>1.1742053595351545</v>
      </c>
      <c r="V20" s="6">
        <f t="shared" si="14"/>
        <v>-2.7089282573309371E-2</v>
      </c>
      <c r="W20" s="6">
        <f t="shared" si="15"/>
        <v>-0.83147284071700567</v>
      </c>
      <c r="X20" s="6">
        <f t="shared" si="16"/>
        <v>-0.858562123290315</v>
      </c>
      <c r="Y20">
        <f t="shared" si="17"/>
        <v>0.42326788449384389</v>
      </c>
      <c r="AA20" s="43">
        <f t="shared" ref="AA20:AA83" si="23">ROUND($H20,0)</f>
        <v>9</v>
      </c>
      <c r="AB20" s="6">
        <f>$Q20*$A20/$Q$16+AB19</f>
        <v>2.2007466031892485E-3</v>
      </c>
      <c r="AC20" s="6">
        <f>VLOOKUP($C20,'hours (1)'!$A$19:$P$103,16)</f>
        <v>0.61809764833410796</v>
      </c>
      <c r="AD20" s="6">
        <f>$Q20*$A20*AC20/$Q$17+AD19</f>
        <v>3.1022936854474487E-3</v>
      </c>
    </row>
    <row r="21" spans="1:30" x14ac:dyDescent="0.25">
      <c r="A21" s="39">
        <f>'hours (1)'!$A21*'hours (1)'!$B21/'hours (1)'!$A$105</f>
        <v>2.1505951276750003E-3</v>
      </c>
      <c r="B21" s="9">
        <f>'hours (2)'!$E21</f>
        <v>8.1944250195876105</v>
      </c>
      <c r="C21" s="26">
        <f t="shared" si="18"/>
        <v>10</v>
      </c>
      <c r="D21" s="25">
        <f t="shared" si="1"/>
        <v>3.9754981630619795</v>
      </c>
      <c r="E21" s="25">
        <f t="shared" si="19"/>
        <v>2.2619331622219848E-2</v>
      </c>
      <c r="F21" s="25">
        <f t="shared" si="2"/>
        <v>2.0035833240156814E-2</v>
      </c>
      <c r="G21" s="30">
        <f t="shared" si="3"/>
        <v>-6.3345671380459135E-7</v>
      </c>
      <c r="H21" s="9">
        <f>'hours (2)'!$K21</f>
        <v>9.7594690708660021</v>
      </c>
      <c r="I21" s="7">
        <f t="shared" si="4"/>
        <v>0</v>
      </c>
      <c r="J21" s="9">
        <f t="shared" si="5"/>
        <v>0.69913581231443789</v>
      </c>
      <c r="K21" s="18">
        <f t="shared" si="20"/>
        <v>1.7586118358961952E-2</v>
      </c>
      <c r="L21" s="19">
        <f t="shared" si="6"/>
        <v>2.3643731770899803E-2</v>
      </c>
      <c r="M21" s="19">
        <f t="shared" si="7"/>
        <v>1.3752664596871878E-2</v>
      </c>
      <c r="N21" s="19">
        <f t="shared" si="8"/>
        <v>-2.5997069801577959E-3</v>
      </c>
      <c r="O21" s="19">
        <f t="shared" si="9"/>
        <v>6.6041352679552245E-4</v>
      </c>
      <c r="P21" s="21">
        <f t="shared" si="10"/>
        <v>19.300080258765995</v>
      </c>
      <c r="Q21" s="9">
        <f t="shared" si="21"/>
        <v>1.9775748166855363</v>
      </c>
      <c r="R21" s="9">
        <f t="shared" si="11"/>
        <v>4.3931856617682339</v>
      </c>
      <c r="S21" s="6">
        <f t="shared" si="22"/>
        <v>3.334538741356334E-2</v>
      </c>
      <c r="T21" s="6">
        <f t="shared" si="12"/>
        <v>2.2756703282065645E-2</v>
      </c>
      <c r="U21" s="6">
        <f t="shared" si="13"/>
        <v>1.0701666116483071</v>
      </c>
      <c r="V21" s="6">
        <f t="shared" si="14"/>
        <v>-2.4347092525539366E-2</v>
      </c>
      <c r="W21" s="6">
        <f t="shared" si="15"/>
        <v>-0.69827881037567141</v>
      </c>
      <c r="X21" s="6">
        <f t="shared" si="16"/>
        <v>-0.72262590290121076</v>
      </c>
      <c r="Y21">
        <f t="shared" si="17"/>
        <v>0.41477967324657744</v>
      </c>
      <c r="AA21" s="43">
        <f t="shared" si="23"/>
        <v>10</v>
      </c>
      <c r="AB21" s="6">
        <f t="shared" ref="AB21:AB84" si="24">$Q21*$A21/$Q$16+AB20</f>
        <v>7.2060812632530943E-3</v>
      </c>
      <c r="AC21" s="6">
        <f>VLOOKUP($C21,'hours (1)'!$A$19:$P$103,16)</f>
        <v>0.66850566449331195</v>
      </c>
      <c r="AD21" s="6">
        <f t="shared" ref="AD21:AD84" si="25">$Q21*$A21*AC21/$Q$17+AD20</f>
        <v>1.0308677943851399E-2</v>
      </c>
    </row>
    <row r="22" spans="1:30" x14ac:dyDescent="0.25">
      <c r="A22" s="39">
        <f>'hours (1)'!$A22*'hours (1)'!$B22/'hours (1)'!$A$105</f>
        <v>6.5173811346110435E-5</v>
      </c>
      <c r="B22" s="9">
        <f>'hours (2)'!$E22</f>
        <v>9.1944250195876105</v>
      </c>
      <c r="C22" s="26">
        <f t="shared" si="18"/>
        <v>11</v>
      </c>
      <c r="D22" s="25">
        <f t="shared" si="1"/>
        <v>3.6140892391472543</v>
      </c>
      <c r="E22" s="25">
        <f t="shared" si="19"/>
        <v>2.0388934870164285E-2</v>
      </c>
      <c r="F22" s="25">
        <f t="shared" si="2"/>
        <v>1.8040299977379708E-2</v>
      </c>
      <c r="G22" s="30">
        <f t="shared" si="3"/>
        <v>4.4670485637874605E-7</v>
      </c>
      <c r="H22" s="9">
        <f>'hours (2)'!$K22</f>
        <v>10.759469070866002</v>
      </c>
      <c r="I22" s="7">
        <f t="shared" si="4"/>
        <v>0</v>
      </c>
      <c r="J22" s="9">
        <f t="shared" si="5"/>
        <v>0.6287555456577989</v>
      </c>
      <c r="K22" s="18">
        <f t="shared" si="20"/>
        <v>1.5815767480408627E-2</v>
      </c>
      <c r="L22" s="19">
        <f t="shared" si="6"/>
        <v>2.0912822561272984E-2</v>
      </c>
      <c r="M22" s="19">
        <f t="shared" si="7"/>
        <v>1.851906570886068E-2</v>
      </c>
      <c r="N22" s="19">
        <f t="shared" si="8"/>
        <v>1.833277172521136E-3</v>
      </c>
      <c r="O22" s="19">
        <f t="shared" si="9"/>
        <v>-2.4269352838715563E-4</v>
      </c>
      <c r="P22" s="21">
        <f t="shared" si="10"/>
        <v>22.068188341020726</v>
      </c>
      <c r="Q22" s="9">
        <f t="shared" si="21"/>
        <v>2.0510480764126138</v>
      </c>
      <c r="R22" s="9">
        <f t="shared" si="11"/>
        <v>4.6976790376760231</v>
      </c>
      <c r="S22" s="6">
        <f t="shared" si="22"/>
        <v>3.1184011656923312E-2</v>
      </c>
      <c r="T22" s="6">
        <f t="shared" si="12"/>
        <v>2.157945453594598E-2</v>
      </c>
      <c r="U22" s="6">
        <f t="shared" si="13"/>
        <v>1.0067111043609938</v>
      </c>
      <c r="V22" s="6">
        <f t="shared" si="14"/>
        <v>-2.2109062138450444E-2</v>
      </c>
      <c r="W22" s="6">
        <f t="shared" si="15"/>
        <v>-0.566488965200584</v>
      </c>
      <c r="X22" s="6">
        <f t="shared" si="16"/>
        <v>-0.58859802733903455</v>
      </c>
      <c r="Y22">
        <f t="shared" si="17"/>
        <v>0.40149150188779809</v>
      </c>
      <c r="AA22" s="43">
        <f t="shared" si="23"/>
        <v>11</v>
      </c>
      <c r="AB22" s="6">
        <f t="shared" si="24"/>
        <v>7.3634036400384208E-3</v>
      </c>
      <c r="AC22" s="6">
        <f>VLOOKUP($C22,'hours (1)'!$A$19:$P$103,16)</f>
        <v>0.7387130633743596</v>
      </c>
      <c r="AD22" s="6">
        <f t="shared" si="25"/>
        <v>1.0558969087317419E-2</v>
      </c>
    </row>
    <row r="23" spans="1:30" x14ac:dyDescent="0.25">
      <c r="A23" s="39">
        <f>'hours (1)'!$A23*'hours (1)'!$B23/'hours (1)'!$A$105</f>
        <v>1.6665159140751592E-3</v>
      </c>
      <c r="B23" s="9">
        <f>'hours (2)'!$E23</f>
        <v>10.19442501958761</v>
      </c>
      <c r="C23" s="26">
        <f t="shared" si="18"/>
        <v>12</v>
      </c>
      <c r="D23" s="25">
        <f t="shared" si="1"/>
        <v>3.3129151358849831</v>
      </c>
      <c r="E23" s="25">
        <f t="shared" si="19"/>
        <v>1.8559980691175048E-2</v>
      </c>
      <c r="F23" s="25">
        <f t="shared" si="2"/>
        <v>1.6407065372789183E-2</v>
      </c>
      <c r="G23" s="30">
        <f t="shared" si="3"/>
        <v>1.3307579001837657E-6</v>
      </c>
      <c r="H23" s="9">
        <f>'hours (2)'!$K23</f>
        <v>11.759469070866002</v>
      </c>
      <c r="I23" s="7">
        <f t="shared" si="4"/>
        <v>0</v>
      </c>
      <c r="J23" s="9">
        <f t="shared" si="5"/>
        <v>0.57127116102008713</v>
      </c>
      <c r="K23" s="18">
        <f t="shared" si="20"/>
        <v>1.4369800653613854E-2</v>
      </c>
      <c r="L23" s="19">
        <f t="shared" si="6"/>
        <v>1.8695231155285555E-2</v>
      </c>
      <c r="M23" s="19">
        <f t="shared" si="7"/>
        <v>2.2423072120658756E-2</v>
      </c>
      <c r="N23" s="19">
        <f t="shared" si="8"/>
        <v>5.4614317389255389E-3</v>
      </c>
      <c r="O23" s="19">
        <f t="shared" si="9"/>
        <v>-3.5681092711561946E-4</v>
      </c>
      <c r="P23" s="21">
        <f t="shared" si="10"/>
        <v>24.567158753076423</v>
      </c>
      <c r="Q23" s="9">
        <f t="shared" si="21"/>
        <v>2.0891384300624063</v>
      </c>
      <c r="R23" s="9">
        <f t="shared" si="11"/>
        <v>4.9565268841272738</v>
      </c>
      <c r="S23" s="6">
        <f t="shared" si="22"/>
        <v>2.9555469242081439E-2</v>
      </c>
      <c r="T23" s="6">
        <f t="shared" si="12"/>
        <v>2.0767663035885842E-2</v>
      </c>
      <c r="U23" s="6">
        <f t="shared" si="13"/>
        <v>0.94997059631028091</v>
      </c>
      <c r="V23" s="6">
        <f t="shared" si="14"/>
        <v>-2.0247855371881378E-2</v>
      </c>
      <c r="W23" s="6">
        <f t="shared" si="15"/>
        <v>-0.46107676093583744</v>
      </c>
      <c r="X23" s="6">
        <f t="shared" si="16"/>
        <v>-0.48132461630771872</v>
      </c>
      <c r="Y23">
        <f t="shared" si="17"/>
        <v>0.39558576233215942</v>
      </c>
      <c r="AA23" s="43">
        <f t="shared" si="23"/>
        <v>12</v>
      </c>
      <c r="AB23" s="6">
        <f t="shared" si="24"/>
        <v>1.1460896663654224E-2</v>
      </c>
      <c r="AC23" s="6">
        <f>VLOOKUP($C23,'hours (1)'!$A$19:$P$103,16)</f>
        <v>0.71832894688550686</v>
      </c>
      <c r="AD23" s="6">
        <f t="shared" si="25"/>
        <v>1.6897969716338817E-2</v>
      </c>
    </row>
    <row r="24" spans="1:30" x14ac:dyDescent="0.25">
      <c r="A24" s="39">
        <f>'hours (1)'!$A24*'hours (1)'!$B24/'hours (1)'!$A$105</f>
        <v>2.5796297549743205E-4</v>
      </c>
      <c r="B24" s="9">
        <f>'hours (2)'!$E24</f>
        <v>11.19442501958761</v>
      </c>
      <c r="C24" s="26">
        <f t="shared" si="18"/>
        <v>13</v>
      </c>
      <c r="D24" s="25">
        <f t="shared" si="1"/>
        <v>3.0580755100476766</v>
      </c>
      <c r="E24" s="25">
        <f t="shared" si="19"/>
        <v>1.7032814010520266E-2</v>
      </c>
      <c r="F24" s="25">
        <f t="shared" si="2"/>
        <v>1.5045507562779472E-2</v>
      </c>
      <c r="G24" s="30">
        <f t="shared" si="3"/>
        <v>2.0677550975688682E-6</v>
      </c>
      <c r="H24" s="9">
        <f>'hours (2)'!$K24</f>
        <v>12.759469070866002</v>
      </c>
      <c r="I24" s="7">
        <f t="shared" si="4"/>
        <v>0</v>
      </c>
      <c r="J24" s="9">
        <f t="shared" si="5"/>
        <v>0.52343111967418277</v>
      </c>
      <c r="K24" s="18">
        <f t="shared" si="20"/>
        <v>1.3166428412358501E-2</v>
      </c>
      <c r="L24" s="19">
        <f t="shared" si="6"/>
        <v>1.6858720302612706E-2</v>
      </c>
      <c r="M24" s="19">
        <f t="shared" si="7"/>
        <v>2.56797436636063E-2</v>
      </c>
      <c r="N24" s="19">
        <f t="shared" si="8"/>
        <v>8.4860689661344444E-3</v>
      </c>
      <c r="O24" s="19">
        <f t="shared" si="9"/>
        <v>-2.8385032075813055E-4</v>
      </c>
      <c r="P24" s="21">
        <f t="shared" si="10"/>
        <v>26.512513105174623</v>
      </c>
      <c r="Q24" s="9">
        <f t="shared" si="21"/>
        <v>2.0778696165118085</v>
      </c>
      <c r="R24" s="9">
        <f t="shared" si="11"/>
        <v>5.1490303072689931</v>
      </c>
      <c r="S24" s="6">
        <f t="shared" si="22"/>
        <v>2.8450498274319128E-2</v>
      </c>
      <c r="T24" s="6">
        <f t="shared" si="12"/>
        <v>2.0351420271263347E-2</v>
      </c>
      <c r="U24" s="6">
        <f t="shared" si="13"/>
        <v>0.89554693053075107</v>
      </c>
      <c r="V24" s="6">
        <f t="shared" si="14"/>
        <v>-1.8675689276866542E-2</v>
      </c>
      <c r="W24" s="6">
        <f t="shared" si="15"/>
        <v>-0.38644265381941356</v>
      </c>
      <c r="X24" s="6">
        <f t="shared" si="16"/>
        <v>-0.40511834309628003</v>
      </c>
      <c r="Y24">
        <f t="shared" si="17"/>
        <v>0.40009968038109556</v>
      </c>
      <c r="AA24" s="43">
        <f t="shared" si="23"/>
        <v>13</v>
      </c>
      <c r="AB24" s="6">
        <f t="shared" si="24"/>
        <v>1.2091733739428869E-2</v>
      </c>
      <c r="AC24" s="6">
        <f>VLOOKUP($C24,'hours (1)'!$A$19:$P$103,16)</f>
        <v>0.6322132591886811</v>
      </c>
      <c r="AD24" s="6">
        <f t="shared" si="25"/>
        <v>1.7756904151282629E-2</v>
      </c>
    </row>
    <row r="25" spans="1:30" x14ac:dyDescent="0.25">
      <c r="A25" s="39">
        <f>'hours (1)'!$A25*'hours (1)'!$B25/'hours (1)'!$A$105</f>
        <v>3.4482549024802218E-4</v>
      </c>
      <c r="B25" s="9">
        <f>'hours (2)'!$E25</f>
        <v>12.19442501958761</v>
      </c>
      <c r="C25" s="26">
        <f t="shared" si="18"/>
        <v>14</v>
      </c>
      <c r="D25" s="25">
        <f t="shared" si="1"/>
        <v>2.8396415450442709</v>
      </c>
      <c r="E25" s="25">
        <f t="shared" si="19"/>
        <v>1.5738301450694017E-2</v>
      </c>
      <c r="F25" s="25">
        <f t="shared" si="2"/>
        <v>1.3892945463506137E-2</v>
      </c>
      <c r="G25" s="30">
        <f t="shared" si="3"/>
        <v>2.6916250726312412E-6</v>
      </c>
      <c r="H25" s="9">
        <f>'hours (2)'!$K25</f>
        <v>13.759469070866002</v>
      </c>
      <c r="I25" s="7">
        <f t="shared" si="4"/>
        <v>0</v>
      </c>
      <c r="J25" s="9">
        <f t="shared" si="5"/>
        <v>0.48299346041443536</v>
      </c>
      <c r="K25" s="18">
        <f t="shared" si="20"/>
        <v>1.2149256284460905E-2</v>
      </c>
      <c r="L25" s="19">
        <f t="shared" si="6"/>
        <v>1.5312871112125842E-2</v>
      </c>
      <c r="M25" s="19">
        <f t="shared" si="7"/>
        <v>2.843800977930059E-2</v>
      </c>
      <c r="N25" s="19">
        <f t="shared" si="8"/>
        <v>1.1046431961009635E-2</v>
      </c>
      <c r="O25" s="19">
        <f t="shared" si="9"/>
        <v>-2.0272353490187467E-4</v>
      </c>
      <c r="P25" s="21">
        <f t="shared" si="10"/>
        <v>27.955792252184953</v>
      </c>
      <c r="Q25" s="9">
        <f t="shared" si="21"/>
        <v>2.0317493435395653</v>
      </c>
      <c r="R25" s="9">
        <f t="shared" si="11"/>
        <v>5.2873237324931175</v>
      </c>
      <c r="S25" s="6">
        <f t="shared" si="22"/>
        <v>2.7706356804125209E-2</v>
      </c>
      <c r="T25" s="6">
        <f t="shared" si="12"/>
        <v>2.0195897297999997E-2</v>
      </c>
      <c r="U25" s="6">
        <f t="shared" si="13"/>
        <v>0.84710072755916299</v>
      </c>
      <c r="V25" s="6">
        <f t="shared" si="14"/>
        <v>-1.7330082820613567E-2</v>
      </c>
      <c r="W25" s="6">
        <f t="shared" si="15"/>
        <v>-0.33478066012329455</v>
      </c>
      <c r="X25" s="6">
        <f t="shared" si="16"/>
        <v>-0.35211074294390815</v>
      </c>
      <c r="Y25">
        <f t="shared" si="17"/>
        <v>0.41184039028997854</v>
      </c>
      <c r="AA25" s="43">
        <f t="shared" si="23"/>
        <v>14</v>
      </c>
      <c r="AB25" s="6">
        <f t="shared" si="24"/>
        <v>1.2916272412350006E-2</v>
      </c>
      <c r="AC25" s="6">
        <f>VLOOKUP($C25,'hours (1)'!$A$19:$P$103,16)</f>
        <v>0.76536742273804459</v>
      </c>
      <c r="AD25" s="6">
        <f t="shared" si="25"/>
        <v>1.9116031673858308E-2</v>
      </c>
    </row>
    <row r="26" spans="1:30" x14ac:dyDescent="0.25">
      <c r="A26" s="39">
        <f>'hours (1)'!$A26*'hours (1)'!$B26/'hours (1)'!$A$105</f>
        <v>4.418785229213182E-3</v>
      </c>
      <c r="B26" s="9">
        <f>'hours (2)'!$E26</f>
        <v>13.19442501958761</v>
      </c>
      <c r="C26" s="26">
        <f t="shared" si="18"/>
        <v>15</v>
      </c>
      <c r="D26" s="25">
        <f t="shared" si="1"/>
        <v>2.6503321087079863</v>
      </c>
      <c r="E26" s="25">
        <f t="shared" si="19"/>
        <v>1.4626959797099919E-2</v>
      </c>
      <c r="F26" s="25">
        <f t="shared" si="2"/>
        <v>1.2904627542391229E-2</v>
      </c>
      <c r="G26" s="30">
        <f t="shared" si="3"/>
        <v>3.2265913683201198E-6</v>
      </c>
      <c r="H26" s="9">
        <f>'hours (2)'!$K26</f>
        <v>14.759469070866002</v>
      </c>
      <c r="I26" s="7">
        <f t="shared" si="4"/>
        <v>0</v>
      </c>
      <c r="J26" s="9">
        <f t="shared" si="5"/>
        <v>0.44836181735621361</v>
      </c>
      <c r="K26" s="18">
        <f t="shared" si="20"/>
        <v>1.1278129154281374E-2</v>
      </c>
      <c r="L26" s="19">
        <f t="shared" si="6"/>
        <v>1.3993765807179204E-2</v>
      </c>
      <c r="M26" s="19">
        <f t="shared" si="7"/>
        <v>3.0804307581414919E-2</v>
      </c>
      <c r="N26" s="19">
        <f t="shared" si="8"/>
        <v>1.3241934167780085E-2</v>
      </c>
      <c r="O26" s="19">
        <f t="shared" si="9"/>
        <v>-1.4277307734844591E-4</v>
      </c>
      <c r="P26" s="21">
        <f t="shared" si="10"/>
        <v>29.031078760059497</v>
      </c>
      <c r="Q26" s="9">
        <f t="shared" si="21"/>
        <v>1.9669460073848115</v>
      </c>
      <c r="R26" s="9">
        <f t="shared" si="11"/>
        <v>5.3880496248697911</v>
      </c>
      <c r="S26" s="6">
        <f t="shared" si="22"/>
        <v>2.7188405465904293E-2</v>
      </c>
      <c r="T26" s="6">
        <f t="shared" si="12"/>
        <v>2.0186802983704843E-2</v>
      </c>
      <c r="U26" s="6">
        <f t="shared" si="13"/>
        <v>0.80617194354885346</v>
      </c>
      <c r="V26" s="6">
        <f t="shared" si="14"/>
        <v>-1.6165353385385089E-2</v>
      </c>
      <c r="W26" s="6">
        <f t="shared" si="15"/>
        <v>-0.29820286637601318</v>
      </c>
      <c r="X26" s="6">
        <f t="shared" si="16"/>
        <v>-0.31436821976139823</v>
      </c>
      <c r="Y26">
        <f t="shared" si="17"/>
        <v>0.42730873978506456</v>
      </c>
      <c r="AA26" s="43">
        <f t="shared" si="23"/>
        <v>15</v>
      </c>
      <c r="AB26" s="6">
        <f t="shared" si="24"/>
        <v>2.3145359399989143E-2</v>
      </c>
      <c r="AC26" s="6">
        <f>VLOOKUP($C26,'hours (1)'!$A$19:$P$103,16)</f>
        <v>0.61425585732695664</v>
      </c>
      <c r="AD26" s="6">
        <f t="shared" si="25"/>
        <v>3.2648137409284163E-2</v>
      </c>
    </row>
    <row r="27" spans="1:30" x14ac:dyDescent="0.25">
      <c r="A27" s="39">
        <f>'hours (1)'!$A27*'hours (1)'!$B27/'hours (1)'!$A$105</f>
        <v>2.1206169827711033E-3</v>
      </c>
      <c r="B27" s="9">
        <f>'hours (2)'!$E27</f>
        <v>14.19442501958761</v>
      </c>
      <c r="C27" s="26">
        <f t="shared" si="18"/>
        <v>16</v>
      </c>
      <c r="D27" s="25">
        <f t="shared" si="1"/>
        <v>2.4846863519137372</v>
      </c>
      <c r="E27" s="25">
        <f t="shared" si="19"/>
        <v>1.3662428337973195E-2</v>
      </c>
      <c r="F27" s="25">
        <f t="shared" si="2"/>
        <v>1.20477418491838E-2</v>
      </c>
      <c r="G27" s="30">
        <f t="shared" si="3"/>
        <v>3.6904147548341019E-6</v>
      </c>
      <c r="H27" s="9">
        <f>'hours (2)'!$K27</f>
        <v>15.759469070866002</v>
      </c>
      <c r="I27" s="7">
        <f t="shared" si="4"/>
        <v>0</v>
      </c>
      <c r="J27" s="9">
        <f t="shared" si="5"/>
        <v>0.41836844880738211</v>
      </c>
      <c r="K27" s="18">
        <f t="shared" si="20"/>
        <v>1.0523673553533964E-2</v>
      </c>
      <c r="L27" s="19">
        <f t="shared" si="6"/>
        <v>1.2854942994755231E-2</v>
      </c>
      <c r="M27" s="19">
        <f t="shared" si="7"/>
        <v>3.2856745438782906E-2</v>
      </c>
      <c r="N27" s="19">
        <f t="shared" si="8"/>
        <v>1.5145465804912269E-2</v>
      </c>
      <c r="O27" s="19">
        <f t="shared" si="9"/>
        <v>-1.0171448431610386E-4</v>
      </c>
      <c r="P27" s="21">
        <f t="shared" si="10"/>
        <v>29.849485657664417</v>
      </c>
      <c r="Q27" s="9">
        <f t="shared" si="21"/>
        <v>1.8940667051307047</v>
      </c>
      <c r="R27" s="9">
        <f t="shared" si="11"/>
        <v>5.4634682810156789</v>
      </c>
      <c r="S27" s="6">
        <f t="shared" si="22"/>
        <v>2.681309203906276E-2</v>
      </c>
      <c r="T27" s="6">
        <f t="shared" si="12"/>
        <v>2.0255768640804219E-2</v>
      </c>
      <c r="U27" s="6">
        <f t="shared" si="13"/>
        <v>0.77227096739306966</v>
      </c>
      <c r="V27" s="6">
        <f t="shared" si="14"/>
        <v>-1.5147326774342232E-2</v>
      </c>
      <c r="W27" s="6">
        <f t="shared" si="15"/>
        <v>-0.27142022172320374</v>
      </c>
      <c r="X27" s="6">
        <f t="shared" si="16"/>
        <v>-0.28656754849754601</v>
      </c>
      <c r="Y27">
        <f t="shared" si="17"/>
        <v>0.44424536489162997</v>
      </c>
      <c r="AA27" s="43">
        <f t="shared" si="23"/>
        <v>16</v>
      </c>
      <c r="AB27" s="6">
        <f t="shared" si="24"/>
        <v>2.7872505711510336E-2</v>
      </c>
      <c r="AC27" s="6">
        <f>VLOOKUP($C27,'hours (1)'!$A$19:$P$103,16)</f>
        <v>0.67759767184437258</v>
      </c>
      <c r="AD27" s="6">
        <f t="shared" si="25"/>
        <v>3.9546565696155632E-2</v>
      </c>
    </row>
    <row r="28" spans="1:30" x14ac:dyDescent="0.25">
      <c r="A28" s="39">
        <f>'hours (1)'!$A28*'hours (1)'!$B28/'hours (1)'!$A$105</f>
        <v>3.8077406738622752E-4</v>
      </c>
      <c r="B28" s="9">
        <f>'hours (2)'!$E28</f>
        <v>15.19442501958761</v>
      </c>
      <c r="C28" s="26">
        <f t="shared" si="18"/>
        <v>17</v>
      </c>
      <c r="D28" s="25">
        <f t="shared" si="1"/>
        <v>2.3385283312129292</v>
      </c>
      <c r="E28" s="25">
        <f t="shared" si="19"/>
        <v>1.2817384255728511E-2</v>
      </c>
      <c r="F28" s="25">
        <f t="shared" si="2"/>
        <v>1.1297679325103196E-2</v>
      </c>
      <c r="G28" s="30">
        <f t="shared" si="3"/>
        <v>4.0964158618359844E-6</v>
      </c>
      <c r="H28" s="9">
        <f>'hours (2)'!$K28</f>
        <v>16.759469070866004</v>
      </c>
      <c r="I28" s="7">
        <f t="shared" si="4"/>
        <v>0</v>
      </c>
      <c r="J28" s="9">
        <f t="shared" si="5"/>
        <v>0.39213932262478085</v>
      </c>
      <c r="K28" s="18">
        <f t="shared" si="20"/>
        <v>9.8639040075105995E-3</v>
      </c>
      <c r="L28" s="19">
        <f t="shared" si="6"/>
        <v>1.1861820221304234E-2</v>
      </c>
      <c r="M28" s="19">
        <f t="shared" si="7"/>
        <v>3.4653949569305356E-2</v>
      </c>
      <c r="N28" s="19">
        <f t="shared" si="8"/>
        <v>1.681169474972093E-2</v>
      </c>
      <c r="O28" s="19">
        <f t="shared" si="9"/>
        <v>-7.3788770821245353E-5</v>
      </c>
      <c r="P28" s="21">
        <f t="shared" si="10"/>
        <v>30.48771931666839</v>
      </c>
      <c r="Q28" s="9">
        <f t="shared" si="21"/>
        <v>1.8191339587043978</v>
      </c>
      <c r="R28" s="9">
        <f t="shared" si="11"/>
        <v>5.5215685558243672</v>
      </c>
      <c r="S28" s="6">
        <f t="shared" si="22"/>
        <v>2.6530953367743186E-2</v>
      </c>
      <c r="T28" s="6">
        <f t="shared" si="12"/>
        <v>2.0364890776765083E-2</v>
      </c>
      <c r="U28" s="6">
        <f t="shared" si="13"/>
        <v>0.74424951790726102</v>
      </c>
      <c r="V28" s="6">
        <f t="shared" si="14"/>
        <v>-1.4249927853332399E-2</v>
      </c>
      <c r="W28" s="6">
        <f t="shared" si="15"/>
        <v>-0.25116127226053248</v>
      </c>
      <c r="X28" s="6">
        <f t="shared" si="16"/>
        <v>-0.26541120011386471</v>
      </c>
      <c r="Y28">
        <f t="shared" si="17"/>
        <v>0.46139302990272996</v>
      </c>
      <c r="AA28" s="43">
        <f t="shared" si="23"/>
        <v>17</v>
      </c>
      <c r="AB28" s="6">
        <f t="shared" si="24"/>
        <v>2.8687723380073162E-2</v>
      </c>
      <c r="AC28" s="6">
        <f>VLOOKUP($C28,'hours (1)'!$A$19:$P$103,16)</f>
        <v>0.70159704938896383</v>
      </c>
      <c r="AD28" s="6">
        <f t="shared" si="25"/>
        <v>4.0778366666678195E-2</v>
      </c>
    </row>
    <row r="29" spans="1:30" x14ac:dyDescent="0.25">
      <c r="A29" s="39">
        <f>'hours (1)'!$A29*'hours (1)'!$B29/'hours (1)'!$A$105</f>
        <v>1.1795378188566624E-3</v>
      </c>
      <c r="B29" s="9">
        <f>'hours (2)'!$E29</f>
        <v>16.194425019587609</v>
      </c>
      <c r="C29" s="26">
        <f t="shared" si="18"/>
        <v>18</v>
      </c>
      <c r="D29" s="25">
        <f t="shared" si="1"/>
        <v>2.2086100905899886</v>
      </c>
      <c r="E29" s="25">
        <f t="shared" si="19"/>
        <v>1.207089587744121E-2</v>
      </c>
      <c r="F29" s="25">
        <f t="shared" si="2"/>
        <v>1.0635618998517301E-2</v>
      </c>
      <c r="G29" s="30">
        <f t="shared" si="3"/>
        <v>4.4547822871221717E-6</v>
      </c>
      <c r="H29" s="9">
        <f>'hours (2)'!$K29</f>
        <v>17.759469070866004</v>
      </c>
      <c r="I29" s="7">
        <f t="shared" si="4"/>
        <v>0</v>
      </c>
      <c r="J29" s="9">
        <f t="shared" si="5"/>
        <v>0.36900717616656292</v>
      </c>
      <c r="K29" s="18">
        <f t="shared" si="20"/>
        <v>9.2820361381414623E-3</v>
      </c>
      <c r="L29" s="19">
        <f t="shared" si="6"/>
        <v>1.0988126300224652E-2</v>
      </c>
      <c r="M29" s="19">
        <f t="shared" si="7"/>
        <v>3.6240787297780575E-2</v>
      </c>
      <c r="N29" s="19">
        <f t="shared" si="8"/>
        <v>1.8282430913641502E-2</v>
      </c>
      <c r="O29" s="19">
        <f t="shared" si="9"/>
        <v>-5.454571556166854E-5</v>
      </c>
      <c r="P29" s="21">
        <f t="shared" si="10"/>
        <v>30.996905011503795</v>
      </c>
      <c r="Q29" s="9">
        <f t="shared" si="21"/>
        <v>1.7453734054670305</v>
      </c>
      <c r="R29" s="9">
        <f t="shared" si="11"/>
        <v>5.5674864177206391</v>
      </c>
      <c r="S29" s="6">
        <f t="shared" si="22"/>
        <v>2.6312139245657694E-2</v>
      </c>
      <c r="T29" s="6">
        <f t="shared" si="12"/>
        <v>2.049327524301427E-2</v>
      </c>
      <c r="U29" s="6">
        <f t="shared" si="13"/>
        <v>0.72095151296347282</v>
      </c>
      <c r="V29" s="6">
        <f t="shared" si="14"/>
        <v>-1.3452915437440658E-2</v>
      </c>
      <c r="W29" s="6">
        <f t="shared" si="15"/>
        <v>-0.23539488068886791</v>
      </c>
      <c r="X29" s="6">
        <f t="shared" si="16"/>
        <v>-0.24884779612630864</v>
      </c>
      <c r="Y29">
        <f t="shared" si="17"/>
        <v>0.47809728088472508</v>
      </c>
      <c r="AA29" s="43">
        <f t="shared" si="23"/>
        <v>18</v>
      </c>
      <c r="AB29" s="6">
        <f t="shared" si="24"/>
        <v>3.1110658381643279E-2</v>
      </c>
      <c r="AC29" s="6">
        <f>VLOOKUP($C29,'hours (1)'!$A$19:$P$103,16)</f>
        <v>0.60885409318940575</v>
      </c>
      <c r="AD29" s="6">
        <f t="shared" si="25"/>
        <v>4.3955490906975911E-2</v>
      </c>
    </row>
    <row r="30" spans="1:30" x14ac:dyDescent="0.25">
      <c r="A30" s="39">
        <f>'hours (1)'!$A30*'hours (1)'!$B30/'hours (1)'!$A$105</f>
        <v>1.5061221130474982E-4</v>
      </c>
      <c r="B30" s="9">
        <f>'hours (2)'!$E30</f>
        <v>17.194425019587609</v>
      </c>
      <c r="C30" s="26">
        <f t="shared" si="18"/>
        <v>19</v>
      </c>
      <c r="D30" s="25">
        <f t="shared" si="1"/>
        <v>2.092367454243147</v>
      </c>
      <c r="E30" s="25">
        <f t="shared" si="19"/>
        <v>1.1406655451714128E-2</v>
      </c>
      <c r="F30" s="25">
        <f t="shared" si="2"/>
        <v>1.0046919461154635E-2</v>
      </c>
      <c r="G30" s="30">
        <f t="shared" si="3"/>
        <v>4.7734392739563158E-6</v>
      </c>
      <c r="H30" s="9">
        <f>'hours (2)'!$K30</f>
        <v>18.759469070866004</v>
      </c>
      <c r="I30" s="7">
        <f t="shared" si="4"/>
        <v>0</v>
      </c>
      <c r="J30" s="9">
        <f t="shared" si="5"/>
        <v>0.34845375016095115</v>
      </c>
      <c r="K30" s="18">
        <f t="shared" si="20"/>
        <v>8.7650336100914619E-3</v>
      </c>
      <c r="L30" s="19">
        <f t="shared" si="6"/>
        <v>1.021354643147783E-2</v>
      </c>
      <c r="M30" s="19">
        <f t="shared" si="7"/>
        <v>3.7652183030219236E-2</v>
      </c>
      <c r="N30" s="19">
        <f t="shared" si="8"/>
        <v>1.959019950286878E-2</v>
      </c>
      <c r="O30" s="19">
        <f t="shared" si="9"/>
        <v>-4.1035419000648443E-5</v>
      </c>
      <c r="P30" s="21">
        <f t="shared" si="10"/>
        <v>31.411375288522571</v>
      </c>
      <c r="Q30" s="9">
        <f t="shared" si="21"/>
        <v>1.6744277340612663</v>
      </c>
      <c r="R30" s="9">
        <f t="shared" si="11"/>
        <v>5.6045852021824567</v>
      </c>
      <c r="S30" s="6">
        <f t="shared" si="22"/>
        <v>2.6137969642129517E-2</v>
      </c>
      <c r="T30" s="6">
        <f t="shared" si="12"/>
        <v>2.0629288405355533E-2</v>
      </c>
      <c r="U30" s="6">
        <f t="shared" si="13"/>
        <v>0.70140549272015096</v>
      </c>
      <c r="V30" s="6">
        <f t="shared" si="14"/>
        <v>-1.2740337115391905E-2</v>
      </c>
      <c r="W30" s="6">
        <f t="shared" si="15"/>
        <v>-0.22282472252802948</v>
      </c>
      <c r="X30" s="6">
        <f t="shared" si="16"/>
        <v>-0.23556505964342164</v>
      </c>
      <c r="Y30">
        <f t="shared" si="17"/>
        <v>0.49403977361970142</v>
      </c>
      <c r="AA30" s="43">
        <f t="shared" si="23"/>
        <v>19</v>
      </c>
      <c r="AB30" s="6">
        <f t="shared" si="24"/>
        <v>3.1407461276969501E-2</v>
      </c>
      <c r="AC30" s="6">
        <f>VLOOKUP($C30,'hours (1)'!$A$19:$P$103,16)</f>
        <v>0.7770279368612194</v>
      </c>
      <c r="AD30" s="6">
        <f t="shared" si="25"/>
        <v>4.4452179253953603E-2</v>
      </c>
    </row>
    <row r="31" spans="1:30" x14ac:dyDescent="0.25">
      <c r="A31" s="39">
        <f>'hours (1)'!$A31*'hours (1)'!$B31/'hours (1)'!$A$105</f>
        <v>1.9264596892108569E-2</v>
      </c>
      <c r="B31" s="9">
        <f>'hours (2)'!$E31</f>
        <v>18.194425019587609</v>
      </c>
      <c r="C31" s="26">
        <f t="shared" si="18"/>
        <v>20</v>
      </c>
      <c r="D31" s="25">
        <f t="shared" si="1"/>
        <v>1.9877490815309897</v>
      </c>
      <c r="E31" s="25">
        <f t="shared" si="19"/>
        <v>1.0811768078753795E-2</v>
      </c>
      <c r="F31" s="25">
        <f t="shared" si="2"/>
        <v>9.5200188877222775E-3</v>
      </c>
      <c r="G31" s="30">
        <f t="shared" si="3"/>
        <v>5.0586451191032669E-6</v>
      </c>
      <c r="H31" s="9">
        <f>'hours (2)'!$K31</f>
        <v>19.759469070866004</v>
      </c>
      <c r="I31" s="7">
        <f t="shared" si="4"/>
        <v>0</v>
      </c>
      <c r="J31" s="9">
        <f t="shared" si="5"/>
        <v>0.33007037409037859</v>
      </c>
      <c r="K31" s="18">
        <f t="shared" si="20"/>
        <v>8.3026166923481654E-3</v>
      </c>
      <c r="L31" s="19">
        <f t="shared" si="6"/>
        <v>9.5221249512872502E-3</v>
      </c>
      <c r="M31" s="19">
        <f t="shared" si="7"/>
        <v>3.8915730012174896E-2</v>
      </c>
      <c r="N31" s="19">
        <f t="shared" si="8"/>
        <v>2.0760684573517273E-2</v>
      </c>
      <c r="O31" s="19">
        <f t="shared" si="9"/>
        <v>-3.1363612171153576E-5</v>
      </c>
      <c r="P31" s="21">
        <f t="shared" si="10"/>
        <v>31.754666510361915</v>
      </c>
      <c r="Q31" s="9">
        <f t="shared" si="21"/>
        <v>1.6070607158763195</v>
      </c>
      <c r="R31" s="9">
        <f t="shared" si="11"/>
        <v>5.6351279054127881</v>
      </c>
      <c r="S31" s="6">
        <f t="shared" si="22"/>
        <v>2.5996300408844476E-2</v>
      </c>
      <c r="T31" s="6">
        <f t="shared" si="12"/>
        <v>2.0766406077579819E-2</v>
      </c>
      <c r="U31" s="6">
        <f t="shared" si="13"/>
        <v>0.68484401189381117</v>
      </c>
      <c r="V31" s="6">
        <f t="shared" si="14"/>
        <v>-1.2099450478543501E-2</v>
      </c>
      <c r="W31" s="6">
        <f t="shared" si="15"/>
        <v>-0.21259601556714999</v>
      </c>
      <c r="X31" s="6">
        <f t="shared" si="16"/>
        <v>-0.22469546604569354</v>
      </c>
      <c r="Y31">
        <f t="shared" si="17"/>
        <v>0.50908550728323176</v>
      </c>
      <c r="AA31" s="43">
        <f t="shared" si="23"/>
        <v>20</v>
      </c>
      <c r="AB31" s="6">
        <f t="shared" si="24"/>
        <v>6.7843717755735417E-2</v>
      </c>
      <c r="AC31" s="6">
        <f>VLOOKUP($C31,'hours (1)'!$A$19:$P$103,16)</f>
        <v>0.62853495092319212</v>
      </c>
      <c r="AD31" s="6">
        <f t="shared" si="25"/>
        <v>9.3774373269946129E-2</v>
      </c>
    </row>
    <row r="32" spans="1:30" x14ac:dyDescent="0.25">
      <c r="A32" s="39">
        <f>'hours (1)'!$A32*'hours (1)'!$B32/'hours (1)'!$A$105</f>
        <v>5.8128356710323138E-4</v>
      </c>
      <c r="B32" s="9">
        <f>'hours (2)'!$E32</f>
        <v>19.194425019587609</v>
      </c>
      <c r="C32" s="26">
        <f t="shared" si="18"/>
        <v>21</v>
      </c>
      <c r="D32" s="25">
        <f t="shared" si="1"/>
        <v>1.8930943633628474</v>
      </c>
      <c r="E32" s="25">
        <f t="shared" si="19"/>
        <v>1.0275902620458896E-2</v>
      </c>
      <c r="F32" s="25">
        <f t="shared" si="2"/>
        <v>9.0456652956669749E-3</v>
      </c>
      <c r="G32" s="30">
        <f t="shared" si="3"/>
        <v>5.3154078252801128E-6</v>
      </c>
      <c r="H32" s="9">
        <f>'hours (2)'!$K32</f>
        <v>20.759469070866004</v>
      </c>
      <c r="I32" s="7">
        <f t="shared" si="4"/>
        <v>0</v>
      </c>
      <c r="J32" s="9">
        <f t="shared" si="5"/>
        <v>0.31353044017049764</v>
      </c>
      <c r="K32" s="18">
        <f t="shared" si="20"/>
        <v>7.8865698664796376E-3</v>
      </c>
      <c r="L32" s="19">
        <f t="shared" si="6"/>
        <v>8.9011558328207646E-3</v>
      </c>
      <c r="M32" s="19">
        <f t="shared" si="7"/>
        <v>4.0053519368807855E-2</v>
      </c>
      <c r="N32" s="19">
        <f t="shared" si="8"/>
        <v>2.1814438973692542E-2</v>
      </c>
      <c r="O32" s="19">
        <f t="shared" si="9"/>
        <v>-2.4310451215092677E-5</v>
      </c>
      <c r="P32" s="21">
        <f t="shared" si="10"/>
        <v>32.043302238887563</v>
      </c>
      <c r="Q32" s="9">
        <f t="shared" si="21"/>
        <v>1.5435511442755236</v>
      </c>
      <c r="R32" s="9">
        <f t="shared" si="11"/>
        <v>5.660680368903332</v>
      </c>
      <c r="S32" s="6">
        <f t="shared" si="22"/>
        <v>2.5878952409346866E-2</v>
      </c>
      <c r="T32" s="6">
        <f t="shared" si="12"/>
        <v>2.0900986213306261E-2</v>
      </c>
      <c r="U32" s="6">
        <f t="shared" si="13"/>
        <v>0.67067323868628193</v>
      </c>
      <c r="V32" s="6">
        <f t="shared" si="14"/>
        <v>-1.1519954373869415E-2</v>
      </c>
      <c r="W32" s="6">
        <f t="shared" si="15"/>
        <v>-0.20412701989303947</v>
      </c>
      <c r="X32" s="6">
        <f t="shared" si="16"/>
        <v>-0.21564697426690874</v>
      </c>
      <c r="Y32">
        <f t="shared" si="17"/>
        <v>0.52319837496604138</v>
      </c>
      <c r="AA32" s="43">
        <f t="shared" si="23"/>
        <v>21</v>
      </c>
      <c r="AB32" s="6">
        <f t="shared" si="24"/>
        <v>6.8899685394952143E-2</v>
      </c>
      <c r="AC32" s="6">
        <f>VLOOKUP($C32,'hours (1)'!$A$19:$P$103,16)</f>
        <v>0.60823820986997867</v>
      </c>
      <c r="AD32" s="6">
        <f t="shared" si="25"/>
        <v>9.5157632295942166E-2</v>
      </c>
    </row>
    <row r="33" spans="1:30" x14ac:dyDescent="0.25">
      <c r="A33" s="39">
        <f>'hours (1)'!$A33*'hours (1)'!$B33/'hours (1)'!$A$105</f>
        <v>6.8489502996424249E-4</v>
      </c>
      <c r="B33" s="9">
        <f>'hours (2)'!$E33</f>
        <v>20.194425019587609</v>
      </c>
      <c r="C33" s="26">
        <f t="shared" si="18"/>
        <v>22</v>
      </c>
      <c r="D33" s="25">
        <f t="shared" si="1"/>
        <v>1.8070446195736272</v>
      </c>
      <c r="E33" s="25">
        <f t="shared" si="19"/>
        <v>9.7906842673527832E-3</v>
      </c>
      <c r="F33" s="25">
        <f t="shared" si="2"/>
        <v>8.6163668209604943E-3</v>
      </c>
      <c r="G33" s="30">
        <f t="shared" si="3"/>
        <v>5.5477826612028849E-6</v>
      </c>
      <c r="H33" s="9">
        <f>'hours (2)'!$K33</f>
        <v>21.759469070866004</v>
      </c>
      <c r="I33" s="7">
        <f t="shared" si="4"/>
        <v>0</v>
      </c>
      <c r="J33" s="9">
        <f t="shared" si="5"/>
        <v>0.29856978074971902</v>
      </c>
      <c r="K33" s="18">
        <f t="shared" si="20"/>
        <v>7.5102482381668809E-3</v>
      </c>
      <c r="L33" s="19">
        <f t="shared" si="6"/>
        <v>8.3403956009606012E-3</v>
      </c>
      <c r="M33" s="19">
        <f t="shared" si="7"/>
        <v>4.1083447243532183E-2</v>
      </c>
      <c r="N33" s="19">
        <f t="shared" si="8"/>
        <v>2.2768105530217204E-2</v>
      </c>
      <c r="O33" s="19">
        <f t="shared" si="9"/>
        <v>-1.9078853320239619E-5</v>
      </c>
      <c r="P33" s="21">
        <f t="shared" si="10"/>
        <v>32.289157047373571</v>
      </c>
      <c r="Q33" s="9">
        <f t="shared" si="21"/>
        <v>1.4839129090059409</v>
      </c>
      <c r="R33" s="9">
        <f t="shared" si="11"/>
        <v>5.6823548857294695</v>
      </c>
      <c r="S33" s="6">
        <f t="shared" si="22"/>
        <v>2.5780240906683093E-2</v>
      </c>
      <c r="T33" s="6">
        <f t="shared" si="12"/>
        <v>2.1031047121395179E-2</v>
      </c>
      <c r="U33" s="6">
        <f t="shared" si="13"/>
        <v>0.65843531228734753</v>
      </c>
      <c r="V33" s="6">
        <f t="shared" si="14"/>
        <v>-1.0993430985061831E-2</v>
      </c>
      <c r="W33" s="6">
        <f t="shared" si="15"/>
        <v>-0.19701024756099209</v>
      </c>
      <c r="X33" s="6">
        <f t="shared" si="16"/>
        <v>-0.20800367854605384</v>
      </c>
      <c r="Y33">
        <f t="shared" si="17"/>
        <v>0.53639460988494392</v>
      </c>
      <c r="AA33" s="43">
        <f t="shared" si="23"/>
        <v>22</v>
      </c>
      <c r="AB33" s="6">
        <f t="shared" si="24"/>
        <v>7.0095803232835013E-2</v>
      </c>
      <c r="AC33" s="6">
        <f>VLOOKUP($C33,'hours (1)'!$A$19:$P$103,16)</f>
        <v>0.66033213534510571</v>
      </c>
      <c r="AD33" s="6">
        <f t="shared" si="25"/>
        <v>9.6858676518769171E-2</v>
      </c>
    </row>
    <row r="34" spans="1:30" x14ac:dyDescent="0.25">
      <c r="A34" s="39">
        <f>'hours (1)'!$A34*'hours (1)'!$B34/'hours (1)'!$A$105</f>
        <v>6.7019129533823878E-4</v>
      </c>
      <c r="B34" s="9">
        <f>'hours (2)'!$E34</f>
        <v>21.194425019587609</v>
      </c>
      <c r="C34" s="26">
        <f t="shared" si="18"/>
        <v>23</v>
      </c>
      <c r="D34" s="25">
        <f t="shared" si="1"/>
        <v>1.7284774622008607</v>
      </c>
      <c r="E34" s="25">
        <f t="shared" si="19"/>
        <v>9.3492521052236759E-3</v>
      </c>
      <c r="F34" s="25">
        <f t="shared" si="2"/>
        <v>8.2259919391093131E-3</v>
      </c>
      <c r="G34" s="30">
        <f t="shared" si="3"/>
        <v>5.7590885578300791E-6</v>
      </c>
      <c r="H34" s="9">
        <f>'hours (2)'!$K34</f>
        <v>22.759469070866004</v>
      </c>
      <c r="I34" s="7">
        <f t="shared" si="4"/>
        <v>0</v>
      </c>
      <c r="J34" s="9">
        <f t="shared" si="5"/>
        <v>0.28497242149810736</v>
      </c>
      <c r="K34" s="18">
        <f t="shared" si="20"/>
        <v>7.1682191717733802E-3</v>
      </c>
      <c r="L34" s="19">
        <f t="shared" si="6"/>
        <v>7.8314944138641734E-3</v>
      </c>
      <c r="M34" s="19">
        <f t="shared" si="7"/>
        <v>4.2020165985354685E-2</v>
      </c>
      <c r="N34" s="19">
        <f t="shared" si="8"/>
        <v>2.3635305139028479E-2</v>
      </c>
      <c r="O34" s="19">
        <f t="shared" si="9"/>
        <v>-1.5138298309680387E-5</v>
      </c>
      <c r="P34" s="21">
        <f t="shared" si="10"/>
        <v>32.500951946411483</v>
      </c>
      <c r="Q34" s="9">
        <f t="shared" si="21"/>
        <v>1.4280188982095097</v>
      </c>
      <c r="R34" s="9">
        <f t="shared" si="11"/>
        <v>5.7009606161077349</v>
      </c>
      <c r="S34" s="6">
        <f t="shared" si="22"/>
        <v>2.5696104171894708E-2</v>
      </c>
      <c r="T34" s="6">
        <f t="shared" si="12"/>
        <v>2.1155579304607489E-2</v>
      </c>
      <c r="U34" s="6">
        <f t="shared" si="13"/>
        <v>0.64777571675720536</v>
      </c>
      <c r="V34" s="6">
        <f t="shared" si="14"/>
        <v>-1.0512934233702328E-2</v>
      </c>
      <c r="W34" s="6">
        <f t="shared" si="15"/>
        <v>-0.19095284348944294</v>
      </c>
      <c r="X34" s="6">
        <f t="shared" si="16"/>
        <v>-0.20146577772314522</v>
      </c>
      <c r="Y34">
        <f t="shared" si="17"/>
        <v>0.5487169785370668</v>
      </c>
      <c r="AA34" s="43">
        <f t="shared" si="23"/>
        <v>23</v>
      </c>
      <c r="AB34" s="6">
        <f t="shared" si="24"/>
        <v>7.122215560276092E-2</v>
      </c>
      <c r="AC34" s="6">
        <f>VLOOKUP($C34,'hours (1)'!$A$19:$P$103,16)</f>
        <v>0.69853276468925896</v>
      </c>
      <c r="AD34" s="6">
        <f t="shared" si="25"/>
        <v>9.8553171406670331E-2</v>
      </c>
    </row>
    <row r="35" spans="1:30" x14ac:dyDescent="0.25">
      <c r="A35" s="39">
        <f>'hours (1)'!$A35*'hours (1)'!$B35/'hours (1)'!$A$105</f>
        <v>6.0546651572067987E-3</v>
      </c>
      <c r="B35" s="9">
        <f>'hours (2)'!$E35</f>
        <v>22.194425019587609</v>
      </c>
      <c r="C35" s="26">
        <f t="shared" si="18"/>
        <v>24</v>
      </c>
      <c r="D35" s="25">
        <f t="shared" si="1"/>
        <v>1.6564575679424915</v>
      </c>
      <c r="E35" s="25">
        <f t="shared" si="19"/>
        <v>8.9459316262488452E-3</v>
      </c>
      <c r="F35" s="25">
        <f t="shared" si="2"/>
        <v>7.8694739670559146E-3</v>
      </c>
      <c r="G35" s="30">
        <f t="shared" si="3"/>
        <v>5.9520680584352726E-6</v>
      </c>
      <c r="H35" s="9">
        <f>'hours (2)'!$K35</f>
        <v>23.759469070866004</v>
      </c>
      <c r="I35" s="7">
        <f t="shared" si="4"/>
        <v>0</v>
      </c>
      <c r="J35" s="9">
        <f t="shared" si="5"/>
        <v>0.27256006658119458</v>
      </c>
      <c r="K35" s="18">
        <f t="shared" si="20"/>
        <v>6.8559977995629445E-3</v>
      </c>
      <c r="L35" s="19">
        <f t="shared" si="6"/>
        <v>7.3675778825083721E-3</v>
      </c>
      <c r="M35" s="19">
        <f t="shared" si="7"/>
        <v>4.287578761879822E-2</v>
      </c>
      <c r="N35" s="19">
        <f t="shared" si="8"/>
        <v>2.4427293200434436E-2</v>
      </c>
      <c r="O35" s="19">
        <f t="shared" si="9"/>
        <v>-1.2128866937730076E-5</v>
      </c>
      <c r="P35" s="21">
        <f t="shared" si="10"/>
        <v>32.685219623446805</v>
      </c>
      <c r="Q35" s="9">
        <f t="shared" si="21"/>
        <v>1.3756712966084585</v>
      </c>
      <c r="R35" s="9">
        <f t="shared" si="11"/>
        <v>5.7170988817272352</v>
      </c>
      <c r="S35" s="6">
        <f t="shared" si="22"/>
        <v>2.5623569034215383E-2</v>
      </c>
      <c r="T35" s="6">
        <f t="shared" si="12"/>
        <v>2.1274147968690083E-2</v>
      </c>
      <c r="U35" s="6">
        <f t="shared" si="13"/>
        <v>0.63841781293844013</v>
      </c>
      <c r="V35" s="6">
        <f t="shared" si="14"/>
        <v>-1.007268160543846E-2</v>
      </c>
      <c r="W35" s="6">
        <f t="shared" si="15"/>
        <v>-0.18573949924548314</v>
      </c>
      <c r="X35" s="6">
        <f t="shared" si="16"/>
        <v>-0.19581218085092159</v>
      </c>
      <c r="Y35">
        <f t="shared" si="17"/>
        <v>0.560220412962946</v>
      </c>
      <c r="AA35" s="43">
        <f t="shared" si="23"/>
        <v>24</v>
      </c>
      <c r="AB35" s="6">
        <f t="shared" si="24"/>
        <v>8.1024869908607702E-2</v>
      </c>
      <c r="AC35" s="6">
        <f>VLOOKUP($C35,'hours (1)'!$A$19:$P$103,16)</f>
        <v>0.69714167607863164</v>
      </c>
      <c r="AD35" s="6">
        <f t="shared" si="25"/>
        <v>0.11327109676473474</v>
      </c>
    </row>
    <row r="36" spans="1:30" x14ac:dyDescent="0.25">
      <c r="A36" s="39">
        <f>'hours (1)'!$A36*'hours (1)'!$B36/'hours (1)'!$A$105</f>
        <v>1.2872118231051756E-2</v>
      </c>
      <c r="B36" s="9">
        <f>'hours (2)'!$E36</f>
        <v>23.194425019587609</v>
      </c>
      <c r="C36" s="26">
        <f t="shared" si="18"/>
        <v>25</v>
      </c>
      <c r="D36" s="25">
        <f t="shared" si="1"/>
        <v>1.5901992652247918</v>
      </c>
      <c r="E36" s="25">
        <f t="shared" si="19"/>
        <v>8.5759887721019498E-3</v>
      </c>
      <c r="F36" s="25">
        <f t="shared" si="2"/>
        <v>7.5425894192767372E-3</v>
      </c>
      <c r="G36" s="30">
        <f t="shared" si="3"/>
        <v>6.1290072921649307E-6</v>
      </c>
      <c r="H36" s="9">
        <f>'hours (2)'!$K36</f>
        <v>24.759469070866004</v>
      </c>
      <c r="I36" s="7">
        <f t="shared" si="4"/>
        <v>0</v>
      </c>
      <c r="J36" s="9">
        <f t="shared" si="5"/>
        <v>0.26118422261046953</v>
      </c>
      <c r="K36" s="18">
        <f t="shared" si="20"/>
        <v>6.5698489069179224E-3</v>
      </c>
      <c r="L36" s="19">
        <f t="shared" si="6"/>
        <v>6.9429350079639046E-3</v>
      </c>
      <c r="M36" s="19">
        <f t="shared" si="7"/>
        <v>4.3660411766237403E-2</v>
      </c>
      <c r="N36" s="19">
        <f t="shared" si="8"/>
        <v>2.5153451990713924E-2</v>
      </c>
      <c r="O36" s="19">
        <f t="shared" si="9"/>
        <v>-9.8018108594805087E-6</v>
      </c>
      <c r="P36" s="21">
        <f t="shared" si="10"/>
        <v>32.846941409986108</v>
      </c>
      <c r="Q36" s="9">
        <f t="shared" si="21"/>
        <v>1.3266415897680326</v>
      </c>
      <c r="R36" s="9">
        <f t="shared" si="11"/>
        <v>5.7312251229546121</v>
      </c>
      <c r="S36" s="6">
        <f t="shared" si="22"/>
        <v>2.5560412429908579E-2</v>
      </c>
      <c r="T36" s="6">
        <f t="shared" si="12"/>
        <v>2.1386658340645029E-2</v>
      </c>
      <c r="U36" s="6">
        <f t="shared" si="13"/>
        <v>0.63014371882555886</v>
      </c>
      <c r="V36" s="6">
        <f t="shared" si="14"/>
        <v>-9.6678203000461222E-3</v>
      </c>
      <c r="W36" s="6">
        <f t="shared" si="15"/>
        <v>-0.18120870415580009</v>
      </c>
      <c r="X36" s="6">
        <f t="shared" si="16"/>
        <v>-0.19087652445584616</v>
      </c>
      <c r="Y36">
        <f t="shared" si="17"/>
        <v>0.57096403081342961</v>
      </c>
      <c r="AA36" s="43">
        <f t="shared" si="23"/>
        <v>25</v>
      </c>
      <c r="AB36" s="6">
        <f t="shared" si="24"/>
        <v>0.10112251477555359</v>
      </c>
      <c r="AC36" s="6">
        <f>VLOOKUP($C36,'hours (1)'!$A$19:$P$103,16)</f>
        <v>0.62001171553543699</v>
      </c>
      <c r="AD36" s="6">
        <f t="shared" si="25"/>
        <v>0.14010749747354595</v>
      </c>
    </row>
    <row r="37" spans="1:30" x14ac:dyDescent="0.25">
      <c r="A37" s="39">
        <f>'hours (1)'!$A37*'hours (1)'!$B37/'hours (1)'!$A$105</f>
        <v>6.2421781477626419E-4</v>
      </c>
      <c r="B37" s="9">
        <f>'hours (2)'!$E37</f>
        <v>24.194425019587609</v>
      </c>
      <c r="C37" s="26">
        <f t="shared" si="18"/>
        <v>26</v>
      </c>
      <c r="D37" s="25">
        <f t="shared" si="1"/>
        <v>1.5290377550238383</v>
      </c>
      <c r="E37" s="25">
        <f t="shared" si="19"/>
        <v>8.2354427594311663E-3</v>
      </c>
      <c r="F37" s="25">
        <f t="shared" si="2"/>
        <v>7.2417895355607696E-3</v>
      </c>
      <c r="G37" s="30">
        <f t="shared" si="3"/>
        <v>6.2918271663139775E-6</v>
      </c>
      <c r="H37" s="9">
        <f>'hours (2)'!$K37</f>
        <v>25.759469070866004</v>
      </c>
      <c r="I37" s="7">
        <f t="shared" si="4"/>
        <v>0</v>
      </c>
      <c r="J37" s="9">
        <f t="shared" si="5"/>
        <v>0.25072021955599932</v>
      </c>
      <c r="K37" s="18">
        <f t="shared" si="20"/>
        <v>6.3066365338951989E-3</v>
      </c>
      <c r="L37" s="19">
        <f t="shared" si="6"/>
        <v>6.5527820976154366E-3</v>
      </c>
      <c r="M37" s="19">
        <f t="shared" si="7"/>
        <v>4.4382527112532585E-2</v>
      </c>
      <c r="N37" s="19">
        <f t="shared" si="8"/>
        <v>2.5821664915305749E-2</v>
      </c>
      <c r="O37" s="19">
        <f t="shared" si="9"/>
        <v>-7.9821883701147733E-6</v>
      </c>
      <c r="P37" s="21">
        <f t="shared" si="10"/>
        <v>32.989976943554346</v>
      </c>
      <c r="Q37" s="9">
        <f t="shared" si="21"/>
        <v>1.2806932026741986</v>
      </c>
      <c r="R37" s="9">
        <f t="shared" si="11"/>
        <v>5.743690185199263</v>
      </c>
      <c r="S37" s="6">
        <f t="shared" si="22"/>
        <v>2.550494075200388E-2</v>
      </c>
      <c r="T37" s="6">
        <f t="shared" si="12"/>
        <v>2.1493214617500624E-2</v>
      </c>
      <c r="U37" s="6">
        <f t="shared" si="13"/>
        <v>0.62278014828490014</v>
      </c>
      <c r="V37" s="6">
        <f t="shared" si="14"/>
        <v>-9.2942476007584277E-3</v>
      </c>
      <c r="W37" s="6">
        <f t="shared" si="15"/>
        <v>-0.17723712333964156</v>
      </c>
      <c r="X37" s="6">
        <f t="shared" si="16"/>
        <v>-0.18653137094039982</v>
      </c>
      <c r="Y37">
        <f t="shared" si="17"/>
        <v>0.58100676733467571</v>
      </c>
      <c r="AA37" s="43">
        <f t="shared" si="23"/>
        <v>26</v>
      </c>
      <c r="AB37" s="6">
        <f t="shared" si="24"/>
        <v>0.10206337000471263</v>
      </c>
      <c r="AC37" s="6">
        <f>VLOOKUP($C37,'hours (1)'!$A$19:$P$103,16)</f>
        <v>0.7536528778924938</v>
      </c>
      <c r="AD37" s="6">
        <f t="shared" si="25"/>
        <v>0.14163461819161838</v>
      </c>
    </row>
    <row r="38" spans="1:30" x14ac:dyDescent="0.25">
      <c r="A38" s="39">
        <f>'hours (1)'!$A38*'hours (1)'!$B38/'hours (1)'!$A$105</f>
        <v>7.8317122395807619E-4</v>
      </c>
      <c r="B38" s="9">
        <f>'hours (2)'!$E38</f>
        <v>25.194425019587609</v>
      </c>
      <c r="C38" s="26">
        <f t="shared" si="18"/>
        <v>27</v>
      </c>
      <c r="D38" s="25">
        <f t="shared" si="1"/>
        <v>1.4724067270599923</v>
      </c>
      <c r="E38" s="25">
        <f t="shared" si="19"/>
        <v>7.9209219179048624E-3</v>
      </c>
      <c r="F38" s="25">
        <f t="shared" si="2"/>
        <v>6.9640706652889239E-3</v>
      </c>
      <c r="G38" s="30">
        <f t="shared" si="3"/>
        <v>6.4421535259783144E-6</v>
      </c>
      <c r="H38" s="9">
        <f>'hours (2)'!$K38</f>
        <v>26.759469070866004</v>
      </c>
      <c r="I38" s="7">
        <f t="shared" si="4"/>
        <v>0</v>
      </c>
      <c r="J38" s="9">
        <f t="shared" si="5"/>
        <v>0.24106261600391632</v>
      </c>
      <c r="K38" s="18">
        <f t="shared" si="20"/>
        <v>6.0637083987040959E-3</v>
      </c>
      <c r="L38" s="19">
        <f t="shared" si="6"/>
        <v>6.1930819220000904E-3</v>
      </c>
      <c r="M38" s="19">
        <f t="shared" si="7"/>
        <v>4.504932040966389E-2</v>
      </c>
      <c r="N38" s="19">
        <f t="shared" si="8"/>
        <v>2.6438604444091993E-2</v>
      </c>
      <c r="O38" s="19">
        <f t="shared" si="9"/>
        <v>-6.5449564627256818E-6</v>
      </c>
      <c r="P38" s="21">
        <f t="shared" si="10"/>
        <v>33.117360094613232</v>
      </c>
      <c r="Q38" s="9">
        <f t="shared" si="21"/>
        <v>1.2375940646247461</v>
      </c>
      <c r="R38" s="9">
        <f t="shared" si="11"/>
        <v>5.7547684657693425</v>
      </c>
      <c r="S38" s="6">
        <f t="shared" si="22"/>
        <v>2.5455842184224024E-2</v>
      </c>
      <c r="T38" s="6">
        <f t="shared" si="12"/>
        <v>2.1594034051601867E-2</v>
      </c>
      <c r="U38" s="6">
        <f t="shared" si="13"/>
        <v>0.61618794106509744</v>
      </c>
      <c r="V38" s="6">
        <f t="shared" si="14"/>
        <v>-8.9484713422456896E-3</v>
      </c>
      <c r="W38" s="6">
        <f t="shared" si="15"/>
        <v>-0.17372906689442671</v>
      </c>
      <c r="X38" s="6">
        <f t="shared" si="16"/>
        <v>-0.18267753823667249</v>
      </c>
      <c r="Y38">
        <f t="shared" si="17"/>
        <v>0.59040506893857003</v>
      </c>
      <c r="AA38" s="43">
        <f t="shared" si="23"/>
        <v>27</v>
      </c>
      <c r="AB38" s="6">
        <f t="shared" si="24"/>
        <v>0.1032040832364816</v>
      </c>
      <c r="AC38" s="6">
        <f>VLOOKUP($C38,'hours (1)'!$A$19:$P$103,16)</f>
        <v>0.68938735668071227</v>
      </c>
      <c r="AD38" s="6">
        <f t="shared" si="25"/>
        <v>0.14332824998454902</v>
      </c>
    </row>
    <row r="39" spans="1:30" x14ac:dyDescent="0.25">
      <c r="A39" s="39">
        <f>'hours (1)'!$A39*'hours (1)'!$B39/'hours (1)'!$A$105</f>
        <v>2.3171448092864709E-3</v>
      </c>
      <c r="B39" s="9">
        <f>'hours (2)'!$E39</f>
        <v>26.194425019587609</v>
      </c>
      <c r="C39" s="26">
        <f t="shared" si="18"/>
        <v>28</v>
      </c>
      <c r="D39" s="25">
        <f t="shared" si="1"/>
        <v>1.4198207725221355</v>
      </c>
      <c r="E39" s="25">
        <f t="shared" si="19"/>
        <v>7.6295514296298777E-3</v>
      </c>
      <c r="F39" s="25">
        <f t="shared" si="2"/>
        <v>6.7068734360359377E-3</v>
      </c>
      <c r="G39" s="30">
        <f t="shared" si="3"/>
        <v>6.5813717330504866E-6</v>
      </c>
      <c r="H39" s="9">
        <f>'hours (2)'!$K39</f>
        <v>27.759469070866004</v>
      </c>
      <c r="I39" s="7">
        <f t="shared" si="4"/>
        <v>0</v>
      </c>
      <c r="J39" s="9">
        <f t="shared" si="5"/>
        <v>0.23212162861344587</v>
      </c>
      <c r="K39" s="18">
        <f t="shared" si="20"/>
        <v>5.8388060839817575E-3</v>
      </c>
      <c r="L39" s="19">
        <f t="shared" si="6"/>
        <v>5.8604035998024856E-3</v>
      </c>
      <c r="M39" s="19">
        <f t="shared" si="7"/>
        <v>4.5666916955592801E-2</v>
      </c>
      <c r="N39" s="19">
        <f t="shared" si="8"/>
        <v>2.7009956103650264E-2</v>
      </c>
      <c r="O39" s="19">
        <f t="shared" si="9"/>
        <v>-5.3993936645485574E-6</v>
      </c>
      <c r="P39" s="21">
        <f t="shared" si="10"/>
        <v>33.23150677677733</v>
      </c>
      <c r="Q39" s="9">
        <f t="shared" si="21"/>
        <v>1.1971232840203818</v>
      </c>
      <c r="R39" s="9">
        <f t="shared" si="11"/>
        <v>5.7646775084801867</v>
      </c>
      <c r="S39" s="6">
        <f t="shared" si="22"/>
        <v>2.541208552531762E-2</v>
      </c>
      <c r="T39" s="6">
        <f t="shared" si="12"/>
        <v>2.1689394179214814E-2</v>
      </c>
      <c r="U39" s="6">
        <f t="shared" si="13"/>
        <v>0.61025429099752082</v>
      </c>
      <c r="V39" s="6">
        <f t="shared" si="14"/>
        <v>-8.6275004087634551E-3</v>
      </c>
      <c r="W39" s="6">
        <f t="shared" si="15"/>
        <v>-0.17060923167210995</v>
      </c>
      <c r="X39" s="6">
        <f t="shared" si="16"/>
        <v>-0.17923673208087343</v>
      </c>
      <c r="Y39">
        <f t="shared" si="17"/>
        <v>0.59921176851005775</v>
      </c>
      <c r="AA39" s="43">
        <f t="shared" si="23"/>
        <v>28</v>
      </c>
      <c r="AB39" s="6">
        <f t="shared" si="24"/>
        <v>0.10646871042473234</v>
      </c>
      <c r="AC39" s="6">
        <f>VLOOKUP($C39,'hours (1)'!$A$19:$P$103,16)</f>
        <v>0.71162305464185771</v>
      </c>
      <c r="AD39" s="6">
        <f t="shared" si="25"/>
        <v>0.14833162213678411</v>
      </c>
    </row>
    <row r="40" spans="1:30" x14ac:dyDescent="0.25">
      <c r="A40" s="39">
        <f>'hours (1)'!$A40*'hours (1)'!$B40/'hours (1)'!$A$105</f>
        <v>3.744736305342058E-4</v>
      </c>
      <c r="B40" s="9">
        <f>'hours (2)'!$E40</f>
        <v>27.194425019587609</v>
      </c>
      <c r="C40" s="26">
        <f t="shared" si="18"/>
        <v>29</v>
      </c>
      <c r="D40" s="25">
        <f t="shared" si="1"/>
        <v>1.3708614355386137</v>
      </c>
      <c r="E40" s="25">
        <f t="shared" si="19"/>
        <v>7.358865023638239E-3</v>
      </c>
      <c r="F40" s="25">
        <f t="shared" si="2"/>
        <v>6.4680035125820202E-3</v>
      </c>
      <c r="G40" s="30">
        <f t="shared" si="3"/>
        <v>6.7106695585492618E-6</v>
      </c>
      <c r="H40" s="9">
        <f>'hours (2)'!$K40</f>
        <v>28.759469070866004</v>
      </c>
      <c r="I40" s="7">
        <f t="shared" si="4"/>
        <v>0</v>
      </c>
      <c r="J40" s="9">
        <f t="shared" si="5"/>
        <v>0.22382032889654008</v>
      </c>
      <c r="K40" s="18">
        <f t="shared" si="20"/>
        <v>5.6299945243629742E-3</v>
      </c>
      <c r="L40" s="19">
        <f t="shared" si="6"/>
        <v>5.5518128978842701E-3</v>
      </c>
      <c r="M40" s="19">
        <f t="shared" si="7"/>
        <v>4.6240569650889553E-2</v>
      </c>
      <c r="N40" s="19">
        <f t="shared" si="8"/>
        <v>2.7540594507416687E-2</v>
      </c>
      <c r="O40" s="19">
        <f t="shared" si="9"/>
        <v>-4.4787695157449958E-6</v>
      </c>
      <c r="P40" s="21">
        <f t="shared" si="10"/>
        <v>33.33436351388707</v>
      </c>
      <c r="Q40" s="9">
        <f t="shared" si="21"/>
        <v>1.159074370661993</v>
      </c>
      <c r="R40" s="9">
        <f t="shared" si="11"/>
        <v>5.773591907459954</v>
      </c>
      <c r="S40" s="6">
        <f t="shared" si="22"/>
        <v>2.537284938377669E-2</v>
      </c>
      <c r="T40" s="6">
        <f t="shared" si="12"/>
        <v>2.1779600321080776E-2</v>
      </c>
      <c r="U40" s="6">
        <f t="shared" si="13"/>
        <v>0.60488693706568042</v>
      </c>
      <c r="V40" s="6">
        <f t="shared" si="14"/>
        <v>-8.3287579832355893E-3</v>
      </c>
      <c r="W40" s="6">
        <f t="shared" si="15"/>
        <v>-0.1678175970464223</v>
      </c>
      <c r="X40" s="6">
        <f t="shared" si="16"/>
        <v>-0.17614635502965775</v>
      </c>
      <c r="Y40">
        <f t="shared" si="17"/>
        <v>0.60747563604584653</v>
      </c>
      <c r="AA40" s="43">
        <f t="shared" si="23"/>
        <v>29</v>
      </c>
      <c r="AB40" s="6">
        <f t="shared" si="24"/>
        <v>0.10697953770650788</v>
      </c>
      <c r="AC40" s="6">
        <f>VLOOKUP($C40,'hours (1)'!$A$19:$P$103,16)</f>
        <v>0.80996890954765532</v>
      </c>
      <c r="AD40" s="6">
        <f t="shared" si="25"/>
        <v>0.14922271227390524</v>
      </c>
    </row>
    <row r="41" spans="1:30" x14ac:dyDescent="0.25">
      <c r="A41" s="39">
        <f>'hours (1)'!$A41*'hours (1)'!$B41/'hours (1)'!$A$105</f>
        <v>2.6237009772075728E-2</v>
      </c>
      <c r="B41" s="9">
        <f>'hours (2)'!$E41</f>
        <v>28.194425019587609</v>
      </c>
      <c r="C41" s="26">
        <f t="shared" si="18"/>
        <v>30</v>
      </c>
      <c r="D41" s="25">
        <f t="shared" si="1"/>
        <v>1.3251660543539932</v>
      </c>
      <c r="E41" s="25">
        <f t="shared" si="19"/>
        <v>7.1067348643545957E-3</v>
      </c>
      <c r="F41" s="25">
        <f t="shared" si="2"/>
        <v>6.2455687370002524E-3</v>
      </c>
      <c r="G41" s="30">
        <f t="shared" si="3"/>
        <v>6.8310712080418962E-6</v>
      </c>
      <c r="H41" s="9">
        <f>'hours (2)'!$K41</f>
        <v>29.759469070866004</v>
      </c>
      <c r="I41" s="7">
        <f t="shared" si="4"/>
        <v>0</v>
      </c>
      <c r="J41" s="9">
        <f t="shared" si="5"/>
        <v>0.21609242154385494</v>
      </c>
      <c r="K41" s="18">
        <f t="shared" si="20"/>
        <v>5.435606122313431E-3</v>
      </c>
      <c r="L41" s="19">
        <f t="shared" si="6"/>
        <v>5.2647855133494265E-3</v>
      </c>
      <c r="M41" s="19">
        <f t="shared" si="7"/>
        <v>4.6774809024268033E-2</v>
      </c>
      <c r="N41" s="19">
        <f t="shared" si="8"/>
        <v>2.8034722996052565E-2</v>
      </c>
      <c r="O41" s="19">
        <f t="shared" si="9"/>
        <v>-3.7333768277136858E-6</v>
      </c>
      <c r="P41" s="21">
        <f t="shared" si="10"/>
        <v>33.427515414750758</v>
      </c>
      <c r="Q41" s="9">
        <f t="shared" si="21"/>
        <v>1.1232564443656592</v>
      </c>
      <c r="R41" s="9">
        <f t="shared" si="11"/>
        <v>5.7816533461243385</v>
      </c>
      <c r="S41" s="6">
        <f t="shared" si="22"/>
        <v>2.5337471671416076E-2</v>
      </c>
      <c r="T41" s="6">
        <f t="shared" si="12"/>
        <v>2.1864965658743647E-2</v>
      </c>
      <c r="U41" s="6">
        <f t="shared" si="13"/>
        <v>0.60000978527420545</v>
      </c>
      <c r="V41" s="6">
        <f t="shared" si="14"/>
        <v>-8.0500122170907833E-3</v>
      </c>
      <c r="W41" s="6">
        <f t="shared" si="15"/>
        <v>-0.16530576942521832</v>
      </c>
      <c r="X41" s="6">
        <f t="shared" si="16"/>
        <v>-0.17335578164230894</v>
      </c>
      <c r="Y41">
        <f t="shared" si="17"/>
        <v>0.61524130991910941</v>
      </c>
      <c r="AA41" s="43">
        <f t="shared" si="23"/>
        <v>30</v>
      </c>
      <c r="AB41" s="6">
        <f t="shared" si="24"/>
        <v>0.14166398637351788</v>
      </c>
      <c r="AC41" s="6">
        <f>VLOOKUP($C41,'hours (1)'!$A$19:$P$103,16)</f>
        <v>0.59836903719357315</v>
      </c>
      <c r="AD41" s="6">
        <f t="shared" si="25"/>
        <v>0.1939201998644034</v>
      </c>
    </row>
    <row r="42" spans="1:30" x14ac:dyDescent="0.25">
      <c r="A42" s="39">
        <f>'hours (1)'!$A42*'hours (1)'!$B42/'hours (1)'!$A$105</f>
        <v>2.528195908241891E-4</v>
      </c>
      <c r="B42" s="9">
        <f>'hours (2)'!$E42</f>
        <v>29.194425019587609</v>
      </c>
      <c r="C42" s="26">
        <f t="shared" si="18"/>
        <v>31</v>
      </c>
      <c r="D42" s="25">
        <f t="shared" si="1"/>
        <v>1.2824187622780578</v>
      </c>
      <c r="E42" s="25">
        <f t="shared" si="19"/>
        <v>6.8713154043590196E-3</v>
      </c>
      <c r="F42" s="25">
        <f t="shared" si="2"/>
        <v>6.0379288294999754E-3</v>
      </c>
      <c r="G42" s="30">
        <f t="shared" si="3"/>
        <v>6.9434645480587352E-6</v>
      </c>
      <c r="H42" s="9">
        <f>'hours (2)'!$K42</f>
        <v>30.759469070866004</v>
      </c>
      <c r="I42" s="7">
        <f t="shared" si="4"/>
        <v>0</v>
      </c>
      <c r="J42" s="9">
        <f t="shared" si="5"/>
        <v>0.20888046821723169</v>
      </c>
      <c r="K42" s="18">
        <f t="shared" si="20"/>
        <v>5.2541960692631604E-3</v>
      </c>
      <c r="L42" s="19">
        <f t="shared" si="6"/>
        <v>4.9971379104832431E-3</v>
      </c>
      <c r="M42" s="19">
        <f t="shared" si="7"/>
        <v>4.7273563318255267E-2</v>
      </c>
      <c r="N42" s="19">
        <f t="shared" si="8"/>
        <v>2.8495985374676843E-2</v>
      </c>
      <c r="O42" s="19">
        <f t="shared" si="9"/>
        <v>-3.1257566736608844E-6</v>
      </c>
      <c r="P42" s="21">
        <f t="shared" si="10"/>
        <v>33.512265840423964</v>
      </c>
      <c r="Q42" s="9">
        <f t="shared" si="21"/>
        <v>1.0894942875384441</v>
      </c>
      <c r="R42" s="9">
        <f t="shared" si="11"/>
        <v>5.7889779616460766</v>
      </c>
      <c r="S42" s="6">
        <f t="shared" si="22"/>
        <v>2.5305412948872022E-2</v>
      </c>
      <c r="T42" s="6">
        <f t="shared" si="12"/>
        <v>2.1945799197267954E-2</v>
      </c>
      <c r="U42" s="6">
        <f t="shared" si="13"/>
        <v>0.59555957927305314</v>
      </c>
      <c r="V42" s="6">
        <f t="shared" si="14"/>
        <v>-7.7893203716323627E-3</v>
      </c>
      <c r="W42" s="6">
        <f t="shared" si="15"/>
        <v>-0.16303432061030446</v>
      </c>
      <c r="X42" s="6">
        <f t="shared" si="16"/>
        <v>-0.17082364098193703</v>
      </c>
      <c r="Y42">
        <f t="shared" si="17"/>
        <v>0.62254943602835877</v>
      </c>
      <c r="AA42" s="43">
        <f t="shared" si="23"/>
        <v>31</v>
      </c>
      <c r="AB42" s="6">
        <f t="shared" si="24"/>
        <v>0.14198815965790124</v>
      </c>
      <c r="AC42" s="6">
        <f>VLOOKUP($C42,'hours (1)'!$A$19:$P$103,16)</f>
        <v>0.81852105456597501</v>
      </c>
      <c r="AD42" s="6">
        <f t="shared" si="25"/>
        <v>0.19449166044816918</v>
      </c>
    </row>
    <row r="43" spans="1:30" x14ac:dyDescent="0.25">
      <c r="A43" s="39">
        <f>'hours (1)'!$A43*'hours (1)'!$B43/'hours (1)'!$A$105</f>
        <v>1.1357041596156411E-2</v>
      </c>
      <c r="B43" s="9">
        <f>'hours (2)'!$E43</f>
        <v>30.194425019587609</v>
      </c>
      <c r="C43" s="26">
        <f t="shared" si="18"/>
        <v>32</v>
      </c>
      <c r="D43" s="25">
        <f t="shared" si="1"/>
        <v>1.2423431759568686</v>
      </c>
      <c r="E43" s="25">
        <f t="shared" si="19"/>
        <v>6.6509980597828254E-3</v>
      </c>
      <c r="F43" s="25">
        <f t="shared" si="2"/>
        <v>5.8436548153881262E-3</v>
      </c>
      <c r="G43" s="30">
        <f t="shared" si="3"/>
        <v>7.0486230678605258E-6</v>
      </c>
      <c r="H43" s="9">
        <f>'hours (2)'!$K43</f>
        <v>31.759469070866004</v>
      </c>
      <c r="I43" s="7">
        <f t="shared" si="4"/>
        <v>0</v>
      </c>
      <c r="J43" s="9">
        <f t="shared" si="5"/>
        <v>0.20213445595023669</v>
      </c>
      <c r="K43" s="18">
        <f t="shared" si="20"/>
        <v>5.0845063350387805E-3</v>
      </c>
      <c r="L43" s="19">
        <f t="shared" si="6"/>
        <v>4.7469717021956653E-3</v>
      </c>
      <c r="M43" s="19">
        <f t="shared" si="7"/>
        <v>4.7740255383394603E-2</v>
      </c>
      <c r="N43" s="19">
        <f t="shared" si="8"/>
        <v>2.8927556043980871E-2</v>
      </c>
      <c r="O43" s="19">
        <f t="shared" si="9"/>
        <v>-2.6273769431067739E-6</v>
      </c>
      <c r="P43" s="21">
        <f t="shared" si="10"/>
        <v>33.589696006225331</v>
      </c>
      <c r="Q43" s="9">
        <f t="shared" si="21"/>
        <v>1.0576277560331844</v>
      </c>
      <c r="R43" s="9">
        <f t="shared" si="11"/>
        <v>5.7956618264202868</v>
      </c>
      <c r="S43" s="6">
        <f t="shared" si="22"/>
        <v>2.5276229403787528E-2</v>
      </c>
      <c r="T43" s="6">
        <f t="shared" si="12"/>
        <v>2.2022398709957747E-2</v>
      </c>
      <c r="U43" s="6">
        <f t="shared" si="13"/>
        <v>0.59148334540865988</v>
      </c>
      <c r="V43" s="6">
        <f t="shared" si="14"/>
        <v>-7.5449834728001835E-3</v>
      </c>
      <c r="W43" s="6">
        <f t="shared" si="15"/>
        <v>-0.16097082035990012</v>
      </c>
      <c r="X43" s="6">
        <f t="shared" si="16"/>
        <v>-0.1685158038327004</v>
      </c>
      <c r="Y43">
        <f t="shared" si="17"/>
        <v>0.62943691334432006</v>
      </c>
      <c r="AA43" s="43">
        <f t="shared" si="23"/>
        <v>32</v>
      </c>
      <c r="AB43" s="6">
        <f t="shared" si="24"/>
        <v>0.15612458473337898</v>
      </c>
      <c r="AC43" s="6">
        <f>VLOOKUP($C43,'hours (1)'!$A$19:$P$103,16)</f>
        <v>0.71987074955486186</v>
      </c>
      <c r="AD43" s="6">
        <f t="shared" si="25"/>
        <v>0.21640826780954223</v>
      </c>
    </row>
    <row r="44" spans="1:30" x14ac:dyDescent="0.25">
      <c r="A44" s="39">
        <f>'hours (1)'!$A44*'hours (1)'!$B44/'hours (1)'!$A$105</f>
        <v>9.0926864084060538E-4</v>
      </c>
      <c r="B44" s="9">
        <f>'hours (2)'!$E44</f>
        <v>31.194425019587609</v>
      </c>
      <c r="C44" s="26">
        <f t="shared" si="18"/>
        <v>33</v>
      </c>
      <c r="D44" s="25">
        <f t="shared" si="1"/>
        <v>1.2046964130490847</v>
      </c>
      <c r="E44" s="25">
        <f t="shared" si="19"/>
        <v>6.444374349546025E-3</v>
      </c>
      <c r="F44" s="25">
        <f t="shared" si="2"/>
        <v>5.6614960519511658E-3</v>
      </c>
      <c r="G44" s="30">
        <f t="shared" si="3"/>
        <v>7.1472237274470751E-6</v>
      </c>
      <c r="H44" s="9">
        <f>'hours (2)'!$K44</f>
        <v>32.759469070866004</v>
      </c>
      <c r="I44" s="7">
        <f t="shared" si="4"/>
        <v>0</v>
      </c>
      <c r="J44" s="9">
        <f t="shared" si="5"/>
        <v>0.19581063458329606</v>
      </c>
      <c r="K44" s="18">
        <f t="shared" si="20"/>
        <v>4.925436424613518E-3</v>
      </c>
      <c r="L44" s="19">
        <f t="shared" si="6"/>
        <v>4.5126285794765547E-3</v>
      </c>
      <c r="M44" s="19">
        <f t="shared" si="7"/>
        <v>4.8177881444768957E-2</v>
      </c>
      <c r="N44" s="19">
        <f t="shared" si="8"/>
        <v>2.9332213248473595E-2</v>
      </c>
      <c r="O44" s="19">
        <f t="shared" si="9"/>
        <v>-2.2162896368832508E-6</v>
      </c>
      <c r="P44" s="21">
        <f t="shared" si="10"/>
        <v>33.660710144546535</v>
      </c>
      <c r="Q44" s="9">
        <f t="shared" si="21"/>
        <v>1.0275108571427378</v>
      </c>
      <c r="R44" s="9">
        <f t="shared" si="11"/>
        <v>5.8017850825885073</v>
      </c>
      <c r="S44" s="6">
        <f t="shared" si="22"/>
        <v>2.5249552643893305E-2</v>
      </c>
      <c r="T44" s="6">
        <f t="shared" si="12"/>
        <v>2.2095046841037521E-2</v>
      </c>
      <c r="U44" s="6">
        <f t="shared" si="13"/>
        <v>0.58773641439934809</v>
      </c>
      <c r="V44" s="6">
        <f t="shared" si="14"/>
        <v>-7.3155092409622037E-3</v>
      </c>
      <c r="W44" s="6">
        <f t="shared" si="15"/>
        <v>-0.15908836192750653</v>
      </c>
      <c r="X44" s="6">
        <f t="shared" si="16"/>
        <v>-0.16640387116846878</v>
      </c>
      <c r="Y44">
        <f t="shared" si="17"/>
        <v>0.63593718647726116</v>
      </c>
      <c r="AA44" s="43">
        <f t="shared" si="23"/>
        <v>33</v>
      </c>
      <c r="AB44" s="6">
        <f t="shared" si="24"/>
        <v>0.15722414787205288</v>
      </c>
      <c r="AC44" s="6">
        <f>VLOOKUP($C44,'hours (1)'!$A$19:$P$103,16)</f>
        <v>0.72869783316357495</v>
      </c>
      <c r="AD44" s="6">
        <f t="shared" si="25"/>
        <v>0.21813389452090021</v>
      </c>
    </row>
    <row r="45" spans="1:30" x14ac:dyDescent="0.25">
      <c r="A45" s="39">
        <f>'hours (1)'!$A45*'hours (1)'!$B45/'hours (1)'!$A$105</f>
        <v>1.2454175232232191E-3</v>
      </c>
      <c r="B45" s="9">
        <f>'hours (2)'!$E45</f>
        <v>32.194425019587612</v>
      </c>
      <c r="C45" s="26">
        <f t="shared" si="18"/>
        <v>34</v>
      </c>
      <c r="D45" s="25">
        <f t="shared" si="1"/>
        <v>1.1692641656064646</v>
      </c>
      <c r="E45" s="25">
        <f t="shared" si="19"/>
        <v>6.2502057096161297E-3</v>
      </c>
      <c r="F45" s="25">
        <f t="shared" si="2"/>
        <v>5.4903532443034723E-3</v>
      </c>
      <c r="G45" s="30">
        <f t="shared" si="3"/>
        <v>7.2398615638001763E-6</v>
      </c>
      <c r="H45" s="9">
        <f>'hours (2)'!$K45</f>
        <v>33.759469070866004</v>
      </c>
      <c r="I45" s="7">
        <f t="shared" si="4"/>
        <v>0</v>
      </c>
      <c r="J45" s="9">
        <f t="shared" si="5"/>
        <v>0.18987056602912503</v>
      </c>
      <c r="K45" s="18">
        <f t="shared" si="20"/>
        <v>4.7760194632534879E-3</v>
      </c>
      <c r="L45" s="19">
        <f t="shared" si="6"/>
        <v>4.2926535267312355E-3</v>
      </c>
      <c r="M45" s="19">
        <f t="shared" si="7"/>
        <v>4.8589075578911865E-2</v>
      </c>
      <c r="N45" s="19">
        <f t="shared" si="8"/>
        <v>2.9712399020516995E-2</v>
      </c>
      <c r="O45" s="19">
        <f t="shared" si="9"/>
        <v>-1.8754569497958506E-6</v>
      </c>
      <c r="P45" s="21">
        <f t="shared" si="10"/>
        <v>33.726070130989747</v>
      </c>
      <c r="Q45" s="9">
        <f t="shared" si="21"/>
        <v>0.99901067935025434</v>
      </c>
      <c r="R45" s="9">
        <f t="shared" si="11"/>
        <v>5.8074150989049977</v>
      </c>
      <c r="S45" s="6">
        <f t="shared" si="22"/>
        <v>2.5225074387913982E-2</v>
      </c>
      <c r="T45" s="6">
        <f t="shared" si="12"/>
        <v>2.2164009207487241E-2</v>
      </c>
      <c r="U45" s="6">
        <f t="shared" si="13"/>
        <v>0.58428087609489476</v>
      </c>
      <c r="V45" s="6">
        <f t="shared" si="14"/>
        <v>-7.0995815859431297E-3</v>
      </c>
      <c r="W45" s="6">
        <f t="shared" si="15"/>
        <v>-0.15736444302295458</v>
      </c>
      <c r="X45" s="6">
        <f t="shared" si="16"/>
        <v>-0.16446402460889772</v>
      </c>
      <c r="Y45">
        <f t="shared" si="17"/>
        <v>0.64208055098259043</v>
      </c>
      <c r="AA45" s="43">
        <f t="shared" si="23"/>
        <v>34</v>
      </c>
      <c r="AB45" s="6">
        <f t="shared" si="24"/>
        <v>0.15868843634093988</v>
      </c>
      <c r="AC45" s="6">
        <f>VLOOKUP($C45,'hours (1)'!$A$19:$P$103,16)</f>
        <v>0.66627594416328395</v>
      </c>
      <c r="AD45" s="6">
        <f t="shared" si="25"/>
        <v>0.22023505866000809</v>
      </c>
    </row>
    <row r="46" spans="1:30" x14ac:dyDescent="0.25">
      <c r="A46" s="39">
        <f>'hours (1)'!$A46*'hours (1)'!$B46/'hours (1)'!$A$105</f>
        <v>3.8232323146654805E-2</v>
      </c>
      <c r="B46" s="9">
        <f>'hours (2)'!$E46</f>
        <v>33.194425019587612</v>
      </c>
      <c r="C46" s="26">
        <f t="shared" si="18"/>
        <v>35</v>
      </c>
      <c r="D46" s="25">
        <f t="shared" si="1"/>
        <v>1.1358566180177085</v>
      </c>
      <c r="E46" s="25">
        <f t="shared" si="19"/>
        <v>6.0673986129950114E-3</v>
      </c>
      <c r="F46" s="25">
        <f t="shared" si="2"/>
        <v>5.3292562181198582E-3</v>
      </c>
      <c r="G46" s="30">
        <f t="shared" si="3"/>
        <v>7.3270617222742053E-6</v>
      </c>
      <c r="H46" s="9">
        <f>'hours (2)'!$K46</f>
        <v>34.759469070866004</v>
      </c>
      <c r="I46" s="7">
        <f t="shared" si="4"/>
        <v>0</v>
      </c>
      <c r="J46" s="9">
        <f t="shared" si="5"/>
        <v>0.18428034165755258</v>
      </c>
      <c r="K46" s="18">
        <f t="shared" si="20"/>
        <v>4.635402510552728E-3</v>
      </c>
      <c r="L46" s="19">
        <f t="shared" si="6"/>
        <v>4.0857645987906199E-3</v>
      </c>
      <c r="M46" s="19">
        <f t="shared" si="7"/>
        <v>4.8976162837520848E-2</v>
      </c>
      <c r="N46" s="19">
        <f t="shared" si="8"/>
        <v>3.0070268557164971E-2</v>
      </c>
      <c r="O46" s="19">
        <f t="shared" si="9"/>
        <v>-1.5915406928052045E-6</v>
      </c>
      <c r="P46" s="21">
        <f t="shared" si="10"/>
        <v>33.786422321637552</v>
      </c>
      <c r="Q46" s="9">
        <f t="shared" si="21"/>
        <v>0.97200628274141221</v>
      </c>
      <c r="R46" s="9">
        <f t="shared" si="11"/>
        <v>5.8126089083678725</v>
      </c>
      <c r="S46" s="6">
        <f t="shared" si="22"/>
        <v>2.5202534727647306E-2</v>
      </c>
      <c r="T46" s="6">
        <f t="shared" si="12"/>
        <v>2.2229533757125094E-2</v>
      </c>
      <c r="U46" s="6">
        <f t="shared" si="13"/>
        <v>0.58108436236313965</v>
      </c>
      <c r="V46" s="6">
        <f t="shared" si="14"/>
        <v>-6.8960353496671451E-3</v>
      </c>
      <c r="W46" s="6">
        <f t="shared" si="15"/>
        <v>-0.15578010661613037</v>
      </c>
      <c r="X46" s="6">
        <f t="shared" si="16"/>
        <v>-0.16267614196579755</v>
      </c>
      <c r="Y46">
        <f t="shared" si="17"/>
        <v>0.64789445215310948</v>
      </c>
      <c r="AA46" s="43">
        <f t="shared" si="23"/>
        <v>35</v>
      </c>
      <c r="AB46" s="6">
        <f t="shared" si="24"/>
        <v>0.20242466181988139</v>
      </c>
      <c r="AC46" s="6">
        <f>VLOOKUP($C46,'hours (1)'!$A$19:$P$103,16)</f>
        <v>0.56215447999770085</v>
      </c>
      <c r="AD46" s="6">
        <f t="shared" si="25"/>
        <v>0.27318630419713813</v>
      </c>
    </row>
    <row r="47" spans="1:30" x14ac:dyDescent="0.25">
      <c r="A47" s="39">
        <f>'hours (1)'!$A47*'hours (1)'!$B47/'hours (1)'!$A$105</f>
        <v>1.0952227904653878E-2</v>
      </c>
      <c r="B47" s="9">
        <f>'hours (2)'!$E47</f>
        <v>34.194425019587612</v>
      </c>
      <c r="C47" s="26">
        <f t="shared" si="18"/>
        <v>36</v>
      </c>
      <c r="D47" s="25">
        <f t="shared" si="1"/>
        <v>1.1043050452949943</v>
      </c>
      <c r="E47" s="25">
        <f t="shared" si="19"/>
        <v>5.8949839381045336E-3</v>
      </c>
      <c r="F47" s="25">
        <f t="shared" si="2"/>
        <v>5.1773454986425793E-3</v>
      </c>
      <c r="G47" s="30">
        <f t="shared" si="3"/>
        <v>7.4092894276896011E-6</v>
      </c>
      <c r="H47" s="9">
        <f>'hours (2)'!$K47</f>
        <v>35.759469070866004</v>
      </c>
      <c r="I47" s="7">
        <f t="shared" si="4"/>
        <v>0</v>
      </c>
      <c r="J47" s="9">
        <f t="shared" si="5"/>
        <v>0.17900993410354138</v>
      </c>
      <c r="K47" s="18">
        <f t="shared" si="20"/>
        <v>4.5028302557600895E-3</v>
      </c>
      <c r="L47" s="19">
        <f t="shared" si="6"/>
        <v>3.8908279335667789E-3</v>
      </c>
      <c r="M47" s="19">
        <f t="shared" si="7"/>
        <v>4.9341203284280405E-2</v>
      </c>
      <c r="N47" s="19">
        <f t="shared" si="8"/>
        <v>3.040773114154087E-2</v>
      </c>
      <c r="O47" s="19">
        <f t="shared" si="9"/>
        <v>-1.3540168965070487E-6</v>
      </c>
      <c r="P47" s="21">
        <f t="shared" si="10"/>
        <v>33.842318563319587</v>
      </c>
      <c r="Q47" s="9">
        <f t="shared" si="21"/>
        <v>0.94638761264192373</v>
      </c>
      <c r="R47" s="9">
        <f t="shared" si="11"/>
        <v>5.8174151101085769</v>
      </c>
      <c r="S47" s="6">
        <f t="shared" si="22"/>
        <v>2.5181713028664933E-2</v>
      </c>
      <c r="T47" s="6">
        <f t="shared" si="12"/>
        <v>2.2291850903538621E-2</v>
      </c>
      <c r="U47" s="6">
        <f t="shared" si="13"/>
        <v>0.57811908072877005</v>
      </c>
      <c r="V47" s="6">
        <f t="shared" si="14"/>
        <v>-6.7038352725916107E-3</v>
      </c>
      <c r="W47" s="6">
        <f t="shared" si="15"/>
        <v>-0.15431927416062516</v>
      </c>
      <c r="X47" s="6">
        <f t="shared" si="16"/>
        <v>-0.16102310943321688</v>
      </c>
      <c r="Y47">
        <f t="shared" si="17"/>
        <v>0.65340376705511549</v>
      </c>
      <c r="AA47" s="43">
        <f t="shared" si="23"/>
        <v>36</v>
      </c>
      <c r="AB47" s="6">
        <f t="shared" si="24"/>
        <v>0.21462334800511548</v>
      </c>
      <c r="AC47" s="6">
        <f>VLOOKUP($C47,'hours (1)'!$A$19:$P$103,16)</f>
        <v>0.72214478000759019</v>
      </c>
      <c r="AD47" s="6">
        <f t="shared" si="25"/>
        <v>0.29215845376107097</v>
      </c>
    </row>
    <row r="48" spans="1:30" x14ac:dyDescent="0.25">
      <c r="A48" s="39">
        <f>'hours (1)'!$A48*'hours (1)'!$B48/'hours (1)'!$A$105</f>
        <v>5.6166457956019758E-3</v>
      </c>
      <c r="B48" s="9">
        <f>'hours (2)'!$E48</f>
        <v>35.194425019587612</v>
      </c>
      <c r="C48" s="26">
        <f t="shared" si="18"/>
        <v>37</v>
      </c>
      <c r="D48" s="25">
        <f t="shared" si="1"/>
        <v>1.0744589629897241</v>
      </c>
      <c r="E48" s="25">
        <f t="shared" si="19"/>
        <v>5.732099762440367E-3</v>
      </c>
      <c r="F48" s="25">
        <f t="shared" si="2"/>
        <v>5.0338569564773858E-3</v>
      </c>
      <c r="G48" s="30">
        <f t="shared" si="3"/>
        <v>7.4869582954050788E-6</v>
      </c>
      <c r="H48" s="9">
        <f>'hours (2)'!$K48</f>
        <v>36.759469070866004</v>
      </c>
      <c r="I48" s="7">
        <f t="shared" si="4"/>
        <v>0</v>
      </c>
      <c r="J48" s="9">
        <f t="shared" si="5"/>
        <v>0.17403265730710507</v>
      </c>
      <c r="K48" s="18">
        <f t="shared" si="20"/>
        <v>4.37763143557996E-3</v>
      </c>
      <c r="L48" s="19">
        <f t="shared" si="6"/>
        <v>3.7068369719716054E-3</v>
      </c>
      <c r="M48" s="19">
        <f t="shared" si="7"/>
        <v>4.9686028708303055E-2</v>
      </c>
      <c r="N48" s="19">
        <f t="shared" si="8"/>
        <v>3.072648425148607E-2</v>
      </c>
      <c r="O48" s="19">
        <f t="shared" si="9"/>
        <v>-1.1545214112784752E-6</v>
      </c>
      <c r="P48" s="21">
        <f t="shared" si="10"/>
        <v>33.894232795857413</v>
      </c>
      <c r="Q48" s="9">
        <f t="shared" si="21"/>
        <v>0.92205447065938562</v>
      </c>
      <c r="R48" s="9">
        <f t="shared" si="11"/>
        <v>5.8218753675991222</v>
      </c>
      <c r="S48" s="6">
        <f t="shared" si="22"/>
        <v>2.5162420804584362E-2</v>
      </c>
      <c r="T48" s="6">
        <f t="shared" si="12"/>
        <v>2.2351174127345916E-2</v>
      </c>
      <c r="U48" s="6">
        <f t="shared" si="13"/>
        <v>0.57536104124282539</v>
      </c>
      <c r="V48" s="6">
        <f t="shared" si="14"/>
        <v>-6.5220583822052621E-3</v>
      </c>
      <c r="W48" s="6">
        <f t="shared" si="15"/>
        <v>-0.15296822300881655</v>
      </c>
      <c r="X48" s="6">
        <f t="shared" si="16"/>
        <v>-0.1594902813910217</v>
      </c>
      <c r="Y48">
        <f t="shared" si="17"/>
        <v>0.65863106493920731</v>
      </c>
      <c r="AA48" s="43">
        <f t="shared" si="23"/>
        <v>37</v>
      </c>
      <c r="AB48" s="6">
        <f t="shared" si="24"/>
        <v>0.22071836827262942</v>
      </c>
      <c r="AC48" s="6">
        <f>VLOOKUP($C48,'hours (1)'!$A$19:$P$103,16)</f>
        <v>0.74376864496543005</v>
      </c>
      <c r="AD48" s="6">
        <f t="shared" si="25"/>
        <v>0.30192165462149384</v>
      </c>
    </row>
    <row r="49" spans="1:30" x14ac:dyDescent="0.25">
      <c r="A49" s="39">
        <f>'hours (1)'!$A49*'hours (1)'!$B49/'hours (1)'!$A$105</f>
        <v>1.1700095927242521E-2</v>
      </c>
      <c r="B49" s="9">
        <f>'hours (2)'!$E49</f>
        <v>36.194425019587612</v>
      </c>
      <c r="C49" s="26">
        <f t="shared" si="18"/>
        <v>38</v>
      </c>
      <c r="D49" s="25">
        <f t="shared" si="1"/>
        <v>1.0461837271215735</v>
      </c>
      <c r="E49" s="25">
        <f t="shared" si="19"/>
        <v>5.5779769357621632E-3</v>
      </c>
      <c r="F49" s="25">
        <f t="shared" si="2"/>
        <v>4.8981089404824176E-3</v>
      </c>
      <c r="G49" s="30">
        <f t="shared" si="3"/>
        <v>7.5604372961521477E-6</v>
      </c>
      <c r="H49" s="9">
        <f>'hours (2)'!$K49</f>
        <v>37.759469070866004</v>
      </c>
      <c r="I49" s="7">
        <f t="shared" si="4"/>
        <v>0</v>
      </c>
      <c r="J49" s="9">
        <f t="shared" si="5"/>
        <v>0.16932471426889503</v>
      </c>
      <c r="K49" s="18">
        <f t="shared" si="20"/>
        <v>4.2592074583799825E-3</v>
      </c>
      <c r="L49" s="19">
        <f t="shared" si="6"/>
        <v>3.532895081247267E-3</v>
      </c>
      <c r="M49" s="19">
        <f t="shared" si="7"/>
        <v>5.0012273397027678E-2</v>
      </c>
      <c r="N49" s="19">
        <f t="shared" si="8"/>
        <v>3.1028042143247721E-2</v>
      </c>
      <c r="O49" s="19">
        <f t="shared" si="9"/>
        <v>-9.8636147143060793E-7</v>
      </c>
      <c r="P49" s="21">
        <f t="shared" si="10"/>
        <v>33.942574285071458</v>
      </c>
      <c r="Q49" s="9">
        <f t="shared" si="21"/>
        <v>0.89891555999817963</v>
      </c>
      <c r="R49" s="9">
        <f t="shared" si="11"/>
        <v>5.8260255994177932</v>
      </c>
      <c r="S49" s="6">
        <f t="shared" si="22"/>
        <v>2.5144496084262433E-2</v>
      </c>
      <c r="T49" s="6">
        <f t="shared" si="12"/>
        <v>2.2407700842555625E-2</v>
      </c>
      <c r="U49" s="6">
        <f t="shared" si="13"/>
        <v>0.57278943346096667</v>
      </c>
      <c r="V49" s="6">
        <f t="shared" si="14"/>
        <v>-6.3498791711893293E-3</v>
      </c>
      <c r="W49" s="6">
        <f t="shared" si="15"/>
        <v>-0.15171517307131746</v>
      </c>
      <c r="X49" s="6">
        <f t="shared" si="16"/>
        <v>-0.15806505224250678</v>
      </c>
      <c r="Y49">
        <f t="shared" si="17"/>
        <v>0.66359684432195198</v>
      </c>
      <c r="AA49" s="43">
        <f t="shared" si="23"/>
        <v>38</v>
      </c>
      <c r="AB49" s="6">
        <f t="shared" si="24"/>
        <v>0.2330963506489408</v>
      </c>
      <c r="AC49" s="6">
        <f>VLOOKUP($C49,'hours (1)'!$A$19:$P$103,16)</f>
        <v>0.72079676182207131</v>
      </c>
      <c r="AD49" s="6">
        <f t="shared" si="25"/>
        <v>0.32113672109360475</v>
      </c>
    </row>
    <row r="50" spans="1:30" x14ac:dyDescent="0.25">
      <c r="A50" s="39">
        <f>'hours (1)'!$A50*'hours (1)'!$B50/'hours (1)'!$A$105</f>
        <v>1.5382824247279752E-3</v>
      </c>
      <c r="B50" s="9">
        <f>'hours (2)'!$E50</f>
        <v>37.194425019587612</v>
      </c>
      <c r="C50" s="26">
        <f t="shared" si="18"/>
        <v>39</v>
      </c>
      <c r="D50" s="25">
        <f t="shared" si="1"/>
        <v>1.0193585033492256</v>
      </c>
      <c r="E50" s="25">
        <f t="shared" si="19"/>
        <v>5.4319269225939684E-3</v>
      </c>
      <c r="F50" s="25">
        <f t="shared" si="2"/>
        <v>4.7694914400137024E-3</v>
      </c>
      <c r="G50" s="30">
        <f t="shared" si="3"/>
        <v>7.630056622399811E-6</v>
      </c>
      <c r="H50" s="9">
        <f>'hours (2)'!$K50</f>
        <v>38.759469070866004</v>
      </c>
      <c r="I50" s="7">
        <f t="shared" si="4"/>
        <v>0</v>
      </c>
      <c r="J50" s="9">
        <f t="shared" si="5"/>
        <v>0.16486481633325559</v>
      </c>
      <c r="K50" s="18">
        <f t="shared" si="20"/>
        <v>4.1470228276064549E-3</v>
      </c>
      <c r="L50" s="19">
        <f t="shared" si="6"/>
        <v>3.3682009487112502E-3</v>
      </c>
      <c r="M50" s="19">
        <f t="shared" si="7"/>
        <v>5.0321400060778704E-2</v>
      </c>
      <c r="N50" s="19">
        <f t="shared" si="8"/>
        <v>3.1313759927045277E-2</v>
      </c>
      <c r="O50" s="19">
        <f t="shared" si="9"/>
        <v>-8.4414776954644388E-7</v>
      </c>
      <c r="P50" s="21">
        <f t="shared" si="10"/>
        <v>33.987698255612507</v>
      </c>
      <c r="Q50" s="9">
        <f t="shared" si="21"/>
        <v>0.87688761147555938</v>
      </c>
      <c r="R50" s="9">
        <f t="shared" si="11"/>
        <v>5.8298969335325737</v>
      </c>
      <c r="S50" s="6">
        <f t="shared" si="22"/>
        <v>2.5127798920213086E-2</v>
      </c>
      <c r="T50" s="6">
        <f t="shared" si="12"/>
        <v>2.2461613398074495E-2</v>
      </c>
      <c r="U50" s="6">
        <f t="shared" si="13"/>
        <v>0.57038612093614316</v>
      </c>
      <c r="V50" s="6">
        <f t="shared" si="14"/>
        <v>-6.1865570629717516E-3</v>
      </c>
      <c r="W50" s="6">
        <f t="shared" si="15"/>
        <v>-0.1505499570921586</v>
      </c>
      <c r="X50" s="6">
        <f t="shared" si="16"/>
        <v>-0.15673651415513032</v>
      </c>
      <c r="Y50">
        <f t="shared" si="17"/>
        <v>0.66831974685381901</v>
      </c>
      <c r="AA50" s="43">
        <f t="shared" si="23"/>
        <v>39</v>
      </c>
      <c r="AB50" s="6">
        <f t="shared" si="24"/>
        <v>0.23468387922741141</v>
      </c>
      <c r="AC50" s="6">
        <f>VLOOKUP($C50,'hours (1)'!$A$19:$P$103,16)</f>
        <v>0.54418855453806381</v>
      </c>
      <c r="AD50" s="6">
        <f t="shared" si="25"/>
        <v>0.32299730885448946</v>
      </c>
    </row>
    <row r="51" spans="1:30" x14ac:dyDescent="0.25">
      <c r="A51" s="39">
        <f>'hours (1)'!$A51*'hours (1)'!$B51/'hours (1)'!$A$105</f>
        <v>0.52299315453736406</v>
      </c>
      <c r="B51" s="9">
        <f>'hours (2)'!$E51</f>
        <v>38.194425019587612</v>
      </c>
      <c r="C51" s="26">
        <f t="shared" si="18"/>
        <v>40</v>
      </c>
      <c r="D51" s="25">
        <f t="shared" si="1"/>
        <v>0.99387454076549486</v>
      </c>
      <c r="E51" s="25">
        <f t="shared" si="19"/>
        <v>5.2933315081355164E-3</v>
      </c>
      <c r="F51" s="25">
        <f t="shared" si="2"/>
        <v>4.6474569126197579E-3</v>
      </c>
      <c r="G51" s="30">
        <f t="shared" si="3"/>
        <v>7.6961126532288716E-6</v>
      </c>
      <c r="H51" s="9">
        <f>'hours (2)'!$K51</f>
        <v>39.759469070866004</v>
      </c>
      <c r="I51" s="7">
        <f t="shared" si="4"/>
        <v>0</v>
      </c>
      <c r="J51" s="9">
        <f t="shared" si="5"/>
        <v>0.16063386113765366</v>
      </c>
      <c r="K51" s="18">
        <f t="shared" si="20"/>
        <v>4.0405970408984269E-3</v>
      </c>
      <c r="L51" s="19">
        <f t="shared" si="6"/>
        <v>3.2120362439771316E-3</v>
      </c>
      <c r="M51" s="19">
        <f t="shared" si="7"/>
        <v>5.0614721777526003E-2</v>
      </c>
      <c r="N51" s="19">
        <f t="shared" si="8"/>
        <v>3.1584853942919586E-2</v>
      </c>
      <c r="O51" s="19">
        <f t="shared" si="9"/>
        <v>-7.2351491660349598E-7</v>
      </c>
      <c r="P51" s="21">
        <f t="shared" si="10"/>
        <v>34.029914499010161</v>
      </c>
      <c r="Q51" s="9">
        <f t="shared" si="21"/>
        <v>0.85589459050261285</v>
      </c>
      <c r="R51" s="9">
        <f t="shared" si="11"/>
        <v>5.8335164779925117</v>
      </c>
      <c r="S51" s="6">
        <f t="shared" si="22"/>
        <v>2.5112207777938059E-2</v>
      </c>
      <c r="T51" s="6">
        <f t="shared" si="12"/>
        <v>2.2513080131179707E-2</v>
      </c>
      <c r="U51" s="6">
        <f t="shared" si="13"/>
        <v>0.5681352283905684</v>
      </c>
      <c r="V51" s="6">
        <f t="shared" si="14"/>
        <v>-6.0314257631602902E-3</v>
      </c>
      <c r="W51" s="6">
        <f t="shared" si="15"/>
        <v>-0.1494637555339382</v>
      </c>
      <c r="X51" s="6">
        <f t="shared" si="16"/>
        <v>-0.15549518129709847</v>
      </c>
      <c r="Y51">
        <f t="shared" si="17"/>
        <v>0.67281674908788935</v>
      </c>
      <c r="AA51" s="43">
        <f t="shared" si="23"/>
        <v>40</v>
      </c>
      <c r="AB51" s="6">
        <f t="shared" si="24"/>
        <v>0.76149850722645029</v>
      </c>
      <c r="AC51" s="6">
        <f>VLOOKUP($C51,'hours (1)'!$A$19:$P$103,16)</f>
        <v>0.45564382461173775</v>
      </c>
      <c r="AD51" s="6">
        <f t="shared" si="25"/>
        <v>0.8399639482429222</v>
      </c>
    </row>
    <row r="52" spans="1:30" x14ac:dyDescent="0.25">
      <c r="A52" s="39">
        <f>'hours (1)'!$A52*'hours (1)'!$B52/'hours (1)'!$A$105</f>
        <v>7.016047166535285E-4</v>
      </c>
      <c r="B52" s="9">
        <f>'hours (2)'!$E52</f>
        <v>39.194425019587612</v>
      </c>
      <c r="C52" s="26">
        <f t="shared" si="18"/>
        <v>41</v>
      </c>
      <c r="D52" s="25">
        <f t="shared" si="1"/>
        <v>0.96963369830779989</v>
      </c>
      <c r="E52" s="25">
        <f t="shared" si="19"/>
        <v>5.1616340426071262E-3</v>
      </c>
      <c r="F52" s="25">
        <f t="shared" si="2"/>
        <v>4.5315124860063859E-3</v>
      </c>
      <c r="G52" s="30">
        <f t="shared" si="3"/>
        <v>7.7588721753279524E-6</v>
      </c>
      <c r="H52" s="9">
        <f>'hours (2)'!$K52</f>
        <v>40.759469070866004</v>
      </c>
      <c r="I52" s="7">
        <f t="shared" si="4"/>
        <v>0</v>
      </c>
      <c r="J52" s="9">
        <f t="shared" si="5"/>
        <v>0.15661465894441834</v>
      </c>
      <c r="K52" s="18">
        <f t="shared" si="20"/>
        <v>3.9394977062143007E-3</v>
      </c>
      <c r="L52" s="19">
        <f t="shared" si="6"/>
        <v>3.0637551490171472E-3</v>
      </c>
      <c r="M52" s="19">
        <f t="shared" si="7"/>
        <v>5.0893420652971692E-2</v>
      </c>
      <c r="N52" s="19">
        <f t="shared" si="8"/>
        <v>3.1842419083704693E-2</v>
      </c>
      <c r="O52" s="19">
        <f t="shared" si="9"/>
        <v>-6.2090733364550399E-7</v>
      </c>
      <c r="P52" s="21">
        <f t="shared" si="10"/>
        <v>34.069494391688103</v>
      </c>
      <c r="Q52" s="9">
        <f t="shared" si="21"/>
        <v>0.83586698179148389</v>
      </c>
      <c r="R52" s="9">
        <f t="shared" si="11"/>
        <v>5.8369079478511656</v>
      </c>
      <c r="S52" s="6">
        <f t="shared" si="22"/>
        <v>2.5097616611429348E-2</v>
      </c>
      <c r="T52" s="6">
        <f t="shared" si="12"/>
        <v>2.2562256420577732E-2</v>
      </c>
      <c r="U52" s="6">
        <f t="shared" si="13"/>
        <v>0.56602280249706416</v>
      </c>
      <c r="V52" s="6">
        <f t="shared" si="14"/>
        <v>-5.8838841739226018E-3</v>
      </c>
      <c r="W52" s="6">
        <f t="shared" si="15"/>
        <v>-0.14844888183119603</v>
      </c>
      <c r="X52" s="6">
        <f t="shared" si="16"/>
        <v>-0.15433276600511869</v>
      </c>
      <c r="Y52">
        <f t="shared" si="17"/>
        <v>0.67710333376578502</v>
      </c>
      <c r="AA52" s="43">
        <f t="shared" si="23"/>
        <v>41</v>
      </c>
      <c r="AB52" s="6">
        <f t="shared" si="24"/>
        <v>0.7621887012743217</v>
      </c>
      <c r="AC52" s="6">
        <f>VLOOKUP($C52,'hours (1)'!$A$19:$P$103,16)</f>
        <v>0.33583847472936851</v>
      </c>
      <c r="AD52" s="6">
        <f t="shared" si="25"/>
        <v>0.84046315546852868</v>
      </c>
    </row>
    <row r="53" spans="1:30" x14ac:dyDescent="0.25">
      <c r="A53" s="39">
        <f>'hours (1)'!$A53*'hours (1)'!$B53/'hours (1)'!$A$105</f>
        <v>5.3536305067851701E-3</v>
      </c>
      <c r="B53" s="9">
        <f>'hours (2)'!$E53</f>
        <v>40.194425019587612</v>
      </c>
      <c r="C53" s="26">
        <f t="shared" si="18"/>
        <v>42</v>
      </c>
      <c r="D53" s="25">
        <f t="shared" si="1"/>
        <v>0.94654718168142371</v>
      </c>
      <c r="E53" s="25">
        <f t="shared" si="19"/>
        <v>5.0363319622605497E-3</v>
      </c>
      <c r="F53" s="25">
        <f t="shared" si="2"/>
        <v>4.4212132998645891E-3</v>
      </c>
      <c r="G53" s="30">
        <f t="shared" si="3"/>
        <v>7.8185759869933425E-6</v>
      </c>
      <c r="H53" s="9">
        <f>'hours (2)'!$K53</f>
        <v>41.759469070866004</v>
      </c>
      <c r="I53" s="7">
        <f t="shared" si="4"/>
        <v>0</v>
      </c>
      <c r="J53" s="9">
        <f t="shared" si="5"/>
        <v>0.15279169908090948</v>
      </c>
      <c r="K53" s="18">
        <f t="shared" si="20"/>
        <v>3.8433346668490811E-3</v>
      </c>
      <c r="L53" s="19">
        <f t="shared" si="6"/>
        <v>2.9227754342986551E-3</v>
      </c>
      <c r="M53" s="19">
        <f t="shared" si="7"/>
        <v>5.1158563755687093E-2</v>
      </c>
      <c r="N53" s="19">
        <f t="shared" si="8"/>
        <v>3.2087443585846788E-2</v>
      </c>
      <c r="O53" s="19">
        <f t="shared" si="9"/>
        <v>-5.3341401179407555E-7</v>
      </c>
      <c r="P53" s="21">
        <f t="shared" si="10"/>
        <v>34.106676654473802</v>
      </c>
      <c r="Q53" s="9">
        <f t="shared" si="21"/>
        <v>0.81674114669883902</v>
      </c>
      <c r="R53" s="9">
        <f t="shared" si="11"/>
        <v>5.8400921785939133</v>
      </c>
      <c r="S53" s="6">
        <f t="shared" si="22"/>
        <v>2.5083932477696535E-2</v>
      </c>
      <c r="T53" s="6">
        <f t="shared" si="12"/>
        <v>2.260928570699279E-2</v>
      </c>
      <c r="U53" s="6">
        <f t="shared" si="13"/>
        <v>0.56403653151719191</v>
      </c>
      <c r="V53" s="6">
        <f t="shared" si="14"/>
        <v>-5.743388610064867E-3</v>
      </c>
      <c r="W53" s="6">
        <f t="shared" si="15"/>
        <v>-0.14749860723587074</v>
      </c>
      <c r="X53" s="6">
        <f t="shared" si="16"/>
        <v>-0.15324199584593565</v>
      </c>
      <c r="Y53">
        <f t="shared" si="17"/>
        <v>0.68119364244139646</v>
      </c>
      <c r="AA53" s="43">
        <f t="shared" si="23"/>
        <v>42</v>
      </c>
      <c r="AB53" s="6">
        <f t="shared" si="24"/>
        <v>0.76733475562885611</v>
      </c>
      <c r="AC53" s="6">
        <f>VLOOKUP($C53,'hours (1)'!$A$19:$P$103,16)</f>
        <v>0.4412273518835641</v>
      </c>
      <c r="AD53" s="6">
        <f t="shared" si="25"/>
        <v>0.84535323587359978</v>
      </c>
    </row>
    <row r="54" spans="1:30" x14ac:dyDescent="0.25">
      <c r="A54" s="39">
        <f>'hours (1)'!$A54*'hours (1)'!$B54/'hours (1)'!$A$105</f>
        <v>3.1454107671163561E-3</v>
      </c>
      <c r="B54" s="9">
        <f>'hours (2)'!$E54</f>
        <v>41.194425019587612</v>
      </c>
      <c r="C54" s="26">
        <f t="shared" si="18"/>
        <v>43</v>
      </c>
      <c r="D54" s="25">
        <f t="shared" si="1"/>
        <v>0.92453445652604171</v>
      </c>
      <c r="E54" s="25">
        <f t="shared" si="19"/>
        <v>4.9169703749927605E-3</v>
      </c>
      <c r="F54" s="25">
        <f t="shared" si="2"/>
        <v>4.3161567977687996E-3</v>
      </c>
      <c r="G54" s="30">
        <f t="shared" si="3"/>
        <v>7.8754419878656287E-6</v>
      </c>
      <c r="H54" s="9">
        <f>'hours (2)'!$K54</f>
        <v>42.759469070866004</v>
      </c>
      <c r="I54" s="7">
        <f t="shared" si="4"/>
        <v>0</v>
      </c>
      <c r="J54" s="9">
        <f t="shared" si="5"/>
        <v>0.14915094979294038</v>
      </c>
      <c r="K54" s="18">
        <f t="shared" si="20"/>
        <v>3.7517549669312993E-3</v>
      </c>
      <c r="L54" s="19">
        <f t="shared" si="6"/>
        <v>2.7885708210548393E-3</v>
      </c>
      <c r="M54" s="19">
        <f t="shared" si="7"/>
        <v>5.1411116780592132E-2</v>
      </c>
      <c r="N54" s="19">
        <f t="shared" si="8"/>
        <v>3.2320821709686434E-2</v>
      </c>
      <c r="O54" s="19">
        <f t="shared" si="9"/>
        <v>-4.5864007482132596E-7</v>
      </c>
      <c r="P54" s="21">
        <f t="shared" si="10"/>
        <v>34.141672108611345</v>
      </c>
      <c r="Q54" s="9">
        <f t="shared" si="21"/>
        <v>0.79845874727835753</v>
      </c>
      <c r="R54" s="9">
        <f t="shared" si="11"/>
        <v>5.8430875492851673</v>
      </c>
      <c r="S54" s="6">
        <f t="shared" si="22"/>
        <v>2.5071073578093999E-2</v>
      </c>
      <c r="T54" s="6">
        <f t="shared" si="12"/>
        <v>2.2654300462617415E-2</v>
      </c>
      <c r="U54" s="6">
        <f t="shared" si="13"/>
        <v>0.56216551230176592</v>
      </c>
      <c r="V54" s="6">
        <f t="shared" si="14"/>
        <v>-5.6094461043082831E-3</v>
      </c>
      <c r="W54" s="6">
        <f t="shared" si="15"/>
        <v>-0.14660701702650966</v>
      </c>
      <c r="X54" s="6">
        <f t="shared" si="16"/>
        <v>-0.15221646313081794</v>
      </c>
      <c r="Y54">
        <f t="shared" si="17"/>
        <v>0.6851006112924839</v>
      </c>
      <c r="AA54" s="43">
        <f t="shared" si="23"/>
        <v>43</v>
      </c>
      <c r="AB54" s="6">
        <f t="shared" si="24"/>
        <v>0.77029053076572906</v>
      </c>
      <c r="AC54" s="6">
        <f>VLOOKUP($C54,'hours (1)'!$A$19:$P$103,16)</f>
        <v>0.44351573965069491</v>
      </c>
      <c r="AD54" s="6">
        <f t="shared" si="25"/>
        <v>0.84817655280607396</v>
      </c>
    </row>
    <row r="55" spans="1:30" x14ac:dyDescent="0.25">
      <c r="A55" s="39">
        <f>'hours (1)'!$A55*'hours (1)'!$B55/'hours (1)'!$A$105</f>
        <v>3.4277420472443752E-3</v>
      </c>
      <c r="B55" s="9">
        <f>'hours (2)'!$E55</f>
        <v>42.194425019587612</v>
      </c>
      <c r="C55" s="26">
        <f t="shared" si="18"/>
        <v>44</v>
      </c>
      <c r="D55" s="25">
        <f t="shared" si="1"/>
        <v>0.90352230978681358</v>
      </c>
      <c r="E55" s="25">
        <f t="shared" si="19"/>
        <v>4.8031365378307595E-3</v>
      </c>
      <c r="F55" s="25">
        <f t="shared" si="2"/>
        <v>4.2159778146346151E-3</v>
      </c>
      <c r="G55" s="30">
        <f t="shared" si="3"/>
        <v>7.9296678380381276E-6</v>
      </c>
      <c r="H55" s="9">
        <f>'hours (2)'!$K55</f>
        <v>43.759469070866004</v>
      </c>
      <c r="I55" s="7">
        <f t="shared" si="4"/>
        <v>0</v>
      </c>
      <c r="J55" s="9">
        <f t="shared" si="5"/>
        <v>0.14567968606389664</v>
      </c>
      <c r="K55" s="18">
        <f t="shared" si="20"/>
        <v>3.6644385203713006E-3</v>
      </c>
      <c r="L55" s="19">
        <f t="shared" si="6"/>
        <v>2.6606644185165618E-3</v>
      </c>
      <c r="M55" s="19">
        <f t="shared" si="7"/>
        <v>5.1651955809877984E-2</v>
      </c>
      <c r="N55" s="19">
        <f t="shared" si="8"/>
        <v>3.254336465244214E-2</v>
      </c>
      <c r="O55" s="19">
        <f t="shared" si="9"/>
        <v>-3.9460627239418233E-7</v>
      </c>
      <c r="P55" s="21">
        <f t="shared" si="10"/>
        <v>34.174667626033461</v>
      </c>
      <c r="Q55" s="9">
        <f t="shared" si="21"/>
        <v>0.78096623089026751</v>
      </c>
      <c r="R55" s="9">
        <f t="shared" si="11"/>
        <v>5.8459103333897842</v>
      </c>
      <c r="S55" s="6">
        <f t="shared" si="22"/>
        <v>2.5058967640105574E-2</v>
      </c>
      <c r="T55" s="6">
        <f t="shared" si="12"/>
        <v>2.2697423099536124E-2</v>
      </c>
      <c r="U55" s="6">
        <f t="shared" si="13"/>
        <v>0.56040005563644413</v>
      </c>
      <c r="V55" s="6">
        <f t="shared" si="14"/>
        <v>-5.4816086280005507E-3</v>
      </c>
      <c r="W55" s="6">
        <f t="shared" si="15"/>
        <v>-0.14576889174439359</v>
      </c>
      <c r="X55" s="6">
        <f t="shared" si="16"/>
        <v>-0.1512505003723941</v>
      </c>
      <c r="Y55">
        <f t="shared" si="17"/>
        <v>0.68883609190135031</v>
      </c>
      <c r="AA55" s="43">
        <f t="shared" si="23"/>
        <v>44</v>
      </c>
      <c r="AB55" s="6">
        <f t="shared" si="24"/>
        <v>0.77344104848646733</v>
      </c>
      <c r="AC55" s="6">
        <f>VLOOKUP($C55,'hours (1)'!$A$19:$P$103,16)</f>
        <v>0.33487011502192815</v>
      </c>
      <c r="AD55" s="6">
        <f t="shared" si="25"/>
        <v>0.85044870554554652</v>
      </c>
    </row>
    <row r="56" spans="1:30" x14ac:dyDescent="0.25">
      <c r="A56" s="39">
        <f>'hours (1)'!$A56*'hours (1)'!$B56/'hours (1)'!$A$105</f>
        <v>5.105026209392189E-2</v>
      </c>
      <c r="B56" s="9">
        <f>'hours (2)'!$E56</f>
        <v>43.194425019587612</v>
      </c>
      <c r="C56" s="26">
        <f t="shared" si="18"/>
        <v>45</v>
      </c>
      <c r="D56" s="25">
        <f t="shared" si="1"/>
        <v>0.88344403623599543</v>
      </c>
      <c r="E56" s="25">
        <f t="shared" si="19"/>
        <v>4.6944550848645687E-3</v>
      </c>
      <c r="F56" s="25">
        <f t="shared" si="2"/>
        <v>4.1203443332950051E-3</v>
      </c>
      <c r="G56" s="30">
        <f t="shared" si="3"/>
        <v>7.9814332549784282E-6</v>
      </c>
      <c r="H56" s="9">
        <f>'hours (2)'!$K56</f>
        <v>44.759469070866004</v>
      </c>
      <c r="I56" s="7">
        <f t="shared" si="4"/>
        <v>0</v>
      </c>
      <c r="J56" s="9">
        <f t="shared" si="5"/>
        <v>0.14236634094405515</v>
      </c>
      <c r="K56" s="18">
        <f t="shared" si="20"/>
        <v>3.5810943711870004E-3</v>
      </c>
      <c r="L56" s="19">
        <f t="shared" si="6"/>
        <v>2.5386230636547519E-3</v>
      </c>
      <c r="M56" s="19">
        <f t="shared" si="7"/>
        <v>5.1881877473481601E-2</v>
      </c>
      <c r="N56" s="19">
        <f t="shared" si="8"/>
        <v>3.2755809974778706E-2</v>
      </c>
      <c r="O56" s="19">
        <f t="shared" si="9"/>
        <v>-3.3966983122024619E-7</v>
      </c>
      <c r="P56" s="21">
        <f t="shared" si="10"/>
        <v>34.205829428426227</v>
      </c>
      <c r="Q56" s="9">
        <f t="shared" si="21"/>
        <v>0.76421436934985554</v>
      </c>
      <c r="R56" s="9">
        <f t="shared" si="11"/>
        <v>5.8485749912629341</v>
      </c>
      <c r="S56" s="6">
        <f t="shared" si="22"/>
        <v>2.5047550572612216E-2</v>
      </c>
      <c r="T56" s="6">
        <f t="shared" si="12"/>
        <v>2.2738766812936535E-2</v>
      </c>
      <c r="U56" s="6">
        <f t="shared" si="13"/>
        <v>0.55873152281200178</v>
      </c>
      <c r="V56" s="6">
        <f t="shared" si="14"/>
        <v>-5.3594680844790635E-3</v>
      </c>
      <c r="W56" s="6">
        <f t="shared" si="15"/>
        <v>-0.14497960853721867</v>
      </c>
      <c r="X56" s="6">
        <f t="shared" si="16"/>
        <v>-0.15033907662169776</v>
      </c>
      <c r="Y56">
        <f t="shared" si="17"/>
        <v>0.69241095866518343</v>
      </c>
      <c r="AA56" s="43">
        <f t="shared" si="23"/>
        <v>45</v>
      </c>
      <c r="AB56" s="6">
        <f t="shared" si="24"/>
        <v>0.81935606184454013</v>
      </c>
      <c r="AC56" s="6">
        <f>VLOOKUP($C56,'hours (1)'!$A$19:$P$103,16)</f>
        <v>0.36391779712251804</v>
      </c>
      <c r="AD56" s="6">
        <f t="shared" si="25"/>
        <v>0.88643500704412193</v>
      </c>
    </row>
    <row r="57" spans="1:30" x14ac:dyDescent="0.25">
      <c r="A57" s="39">
        <f>'hours (1)'!$A57*'hours (1)'!$B57/'hours (1)'!$A$105</f>
        <v>1.7471562507340025E-3</v>
      </c>
      <c r="B57" s="9">
        <f>'hours (2)'!$E57</f>
        <v>44.194425019587612</v>
      </c>
      <c r="C57" s="26">
        <f t="shared" si="18"/>
        <v>46</v>
      </c>
      <c r="D57" s="25">
        <f t="shared" si="1"/>
        <v>0.86423873110043037</v>
      </c>
      <c r="E57" s="25">
        <f t="shared" si="19"/>
        <v>4.5905838892707392E-3</v>
      </c>
      <c r="F57" s="25">
        <f t="shared" si="2"/>
        <v>4.0289538062135578E-3</v>
      </c>
      <c r="G57" s="30">
        <f t="shared" si="3"/>
        <v>8.0309020045470508E-6</v>
      </c>
      <c r="H57" s="9">
        <f>'hours (2)'!$K57</f>
        <v>45.759469070866004</v>
      </c>
      <c r="I57" s="7">
        <f t="shared" si="4"/>
        <v>0</v>
      </c>
      <c r="J57" s="9">
        <f t="shared" si="5"/>
        <v>0.13920037672785335</v>
      </c>
      <c r="K57" s="18">
        <f t="shared" si="20"/>
        <v>3.5014574530865695E-3</v>
      </c>
      <c r="L57" s="19">
        <f t="shared" si="6"/>
        <v>2.4220524218838274E-3</v>
      </c>
      <c r="M57" s="19">
        <f t="shared" si="7"/>
        <v>5.2101607757602079E-2</v>
      </c>
      <c r="N57" s="19">
        <f t="shared" si="8"/>
        <v>3.2958829771949728E-2</v>
      </c>
      <c r="O57" s="19">
        <f t="shared" si="9"/>
        <v>-2.9246174947095138E-7</v>
      </c>
      <c r="P57" s="21">
        <f t="shared" si="10"/>
        <v>34.235305856723016</v>
      </c>
      <c r="Q57" s="9">
        <f t="shared" si="21"/>
        <v>0.74815784693008691</v>
      </c>
      <c r="R57" s="9">
        <f t="shared" si="11"/>
        <v>5.8510944152972799</v>
      </c>
      <c r="S57" s="6">
        <f t="shared" si="22"/>
        <v>2.503676534228861E-2</v>
      </c>
      <c r="T57" s="6">
        <f t="shared" si="12"/>
        <v>2.2778436358565423E-2</v>
      </c>
      <c r="U57" s="6">
        <f t="shared" si="13"/>
        <v>0.5571521877614688</v>
      </c>
      <c r="V57" s="6">
        <f t="shared" si="14"/>
        <v>-5.2426519571956137E-3</v>
      </c>
      <c r="W57" s="6">
        <f t="shared" si="15"/>
        <v>-0.1442350587623592</v>
      </c>
      <c r="X57" s="6">
        <f t="shared" si="16"/>
        <v>-0.14947771071955471</v>
      </c>
      <c r="Y57">
        <f t="shared" si="17"/>
        <v>0.69583520435294111</v>
      </c>
      <c r="AA57" s="43">
        <f t="shared" si="23"/>
        <v>46</v>
      </c>
      <c r="AB57" s="6">
        <f t="shared" si="24"/>
        <v>0.82089445210297596</v>
      </c>
      <c r="AC57" s="6">
        <f>VLOOKUP($C57,'hours (1)'!$A$19:$P$103,16)</f>
        <v>0.43607191944070439</v>
      </c>
      <c r="AD57" s="6">
        <f t="shared" si="25"/>
        <v>0.88787979411607953</v>
      </c>
    </row>
    <row r="58" spans="1:30" x14ac:dyDescent="0.25">
      <c r="A58" s="39">
        <f>'hours (1)'!$A58*'hours (1)'!$B58/'hours (1)'!$A$105</f>
        <v>1.3322371754345547E-3</v>
      </c>
      <c r="B58" s="9">
        <f>'hours (2)'!$E58</f>
        <v>45.194425019587612</v>
      </c>
      <c r="C58" s="26">
        <f t="shared" si="18"/>
        <v>47</v>
      </c>
      <c r="D58" s="25">
        <f t="shared" si="1"/>
        <v>0.84585067299191052</v>
      </c>
      <c r="E58" s="25">
        <f t="shared" si="19"/>
        <v>4.4912104632436325E-3</v>
      </c>
      <c r="F58" s="25">
        <f t="shared" si="2"/>
        <v>3.9415299564217101E-3</v>
      </c>
      <c r="G58" s="30">
        <f t="shared" si="3"/>
        <v>8.0782236326171425E-6</v>
      </c>
      <c r="H58" s="9">
        <f>'hours (2)'!$K58</f>
        <v>46.759469070866004</v>
      </c>
      <c r="I58" s="7">
        <f t="shared" si="4"/>
        <v>0</v>
      </c>
      <c r="J58" s="9">
        <f t="shared" si="5"/>
        <v>0.1361721729547426</v>
      </c>
      <c r="K58" s="18">
        <f t="shared" si="20"/>
        <v>3.425285772232908E-3</v>
      </c>
      <c r="L58" s="19">
        <f t="shared" si="6"/>
        <v>2.3105927319984204E-3</v>
      </c>
      <c r="M58" s="19">
        <f t="shared" si="7"/>
        <v>5.2311809666609019E-2</v>
      </c>
      <c r="N58" s="19">
        <f t="shared" si="8"/>
        <v>3.3153037780366539E-2</v>
      </c>
      <c r="O58" s="19">
        <f t="shared" si="9"/>
        <v>-2.5183683761975661E-7</v>
      </c>
      <c r="P58" s="21">
        <f t="shared" si="10"/>
        <v>34.26322970742293</v>
      </c>
      <c r="Q58" s="9">
        <f t="shared" si="21"/>
        <v>0.73275489196627785</v>
      </c>
      <c r="R58" s="9">
        <f t="shared" si="11"/>
        <v>5.8534801364165343</v>
      </c>
      <c r="S58" s="6">
        <f t="shared" si="22"/>
        <v>2.5026561029906427E-2</v>
      </c>
      <c r="T58" s="6">
        <f t="shared" si="12"/>
        <v>2.2816528766154559E-2</v>
      </c>
      <c r="U58" s="6">
        <f t="shared" si="13"/>
        <v>0.55565512024160579</v>
      </c>
      <c r="V58" s="6">
        <f t="shared" si="14"/>
        <v>-5.1308195148350036E-3</v>
      </c>
      <c r="W58" s="6">
        <f t="shared" si="15"/>
        <v>-0.14353157881835221</v>
      </c>
      <c r="X58" s="6">
        <f t="shared" si="16"/>
        <v>-0.14866239833318723</v>
      </c>
      <c r="Y58">
        <f t="shared" si="17"/>
        <v>0.69911802517559052</v>
      </c>
      <c r="AA58" s="43">
        <f t="shared" si="23"/>
        <v>47</v>
      </c>
      <c r="AB58" s="6">
        <f t="shared" si="24"/>
        <v>0.8220433510047892</v>
      </c>
      <c r="AC58" s="6">
        <f>VLOOKUP($C58,'hours (1)'!$A$19:$P$103,16)</f>
        <v>0.41751106861548043</v>
      </c>
      <c r="AD58" s="6">
        <f t="shared" si="25"/>
        <v>0.88891286236093692</v>
      </c>
    </row>
    <row r="59" spans="1:30" x14ac:dyDescent="0.25">
      <c r="A59" s="39">
        <f>'hours (1)'!$A59*'hours (1)'!$B59/'hours (1)'!$A$105</f>
        <v>9.8217405278856577E-3</v>
      </c>
      <c r="B59" s="9">
        <f>'hours (2)'!$E59</f>
        <v>46.194425019587612</v>
      </c>
      <c r="C59" s="26">
        <f t="shared" si="18"/>
        <v>48</v>
      </c>
      <c r="D59" s="25">
        <f t="shared" si="1"/>
        <v>0.82822878397124577</v>
      </c>
      <c r="E59" s="25">
        <f t="shared" si="19"/>
        <v>4.3960488159744526E-3</v>
      </c>
      <c r="F59" s="25">
        <f t="shared" si="2"/>
        <v>3.8578199863779868E-3</v>
      </c>
      <c r="G59" s="30">
        <f t="shared" si="3"/>
        <v>8.1235349758901661E-6</v>
      </c>
      <c r="H59" s="9">
        <f>'hours (2)'!$K59</f>
        <v>47.759469070866004</v>
      </c>
      <c r="I59" s="7">
        <f t="shared" si="4"/>
        <v>0</v>
      </c>
      <c r="J59" s="9">
        <f t="shared" si="5"/>
        <v>0.13327292872472474</v>
      </c>
      <c r="K59" s="18">
        <f t="shared" si="20"/>
        <v>3.3523579500808077E-3</v>
      </c>
      <c r="L59" s="19">
        <f t="shared" si="6"/>
        <v>2.2039150986320338E-3</v>
      </c>
      <c r="M59" s="19">
        <f t="shared" si="7"/>
        <v>5.2513089908796592E-2</v>
      </c>
      <c r="N59" s="19">
        <f t="shared" si="8"/>
        <v>3.3338995577987335E-2</v>
      </c>
      <c r="O59" s="19">
        <f t="shared" si="9"/>
        <v>-2.1683369816338782E-7</v>
      </c>
      <c r="P59" s="21">
        <f t="shared" si="10"/>
        <v>34.289720212623024</v>
      </c>
      <c r="Q59" s="9">
        <f t="shared" si="21"/>
        <v>0.71796694728208921</v>
      </c>
      <c r="R59" s="9">
        <f t="shared" si="11"/>
        <v>5.8557424988316402</v>
      </c>
      <c r="S59" s="6">
        <f t="shared" si="22"/>
        <v>2.5016892033862849E-2</v>
      </c>
      <c r="T59" s="6">
        <f t="shared" si="12"/>
        <v>2.2853133991888291E-2</v>
      </c>
      <c r="U59" s="6">
        <f t="shared" si="13"/>
        <v>0.55423408642293615</v>
      </c>
      <c r="V59" s="6">
        <f t="shared" si="14"/>
        <v>-5.0236584919924219E-3</v>
      </c>
      <c r="W59" s="6">
        <f t="shared" si="15"/>
        <v>-0.14286589180038717</v>
      </c>
      <c r="X59" s="6">
        <f t="shared" si="16"/>
        <v>-0.14788955029237963</v>
      </c>
      <c r="Y59">
        <f t="shared" si="17"/>
        <v>0.70226789659005939</v>
      </c>
      <c r="AA59" s="43">
        <f t="shared" si="23"/>
        <v>48</v>
      </c>
      <c r="AB59" s="6">
        <f t="shared" si="24"/>
        <v>0.83034251692955385</v>
      </c>
      <c r="AC59" s="6">
        <f>VLOOKUP($C59,'hours (1)'!$A$19:$P$103,16)</f>
        <v>0.30584328509077524</v>
      </c>
      <c r="AD59" s="6">
        <f t="shared" si="25"/>
        <v>0.89437940325855669</v>
      </c>
    </row>
    <row r="60" spans="1:30" x14ac:dyDescent="0.25">
      <c r="A60" s="39">
        <f>'hours (1)'!$A60*'hours (1)'!$B60/'hours (1)'!$A$105</f>
        <v>7.0432109545263272E-4</v>
      </c>
      <c r="B60" s="9">
        <f>'hours (2)'!$E60</f>
        <v>47.194425019587612</v>
      </c>
      <c r="C60" s="26">
        <f t="shared" si="18"/>
        <v>49</v>
      </c>
      <c r="D60" s="25">
        <f t="shared" si="1"/>
        <v>0.81132615572693456</v>
      </c>
      <c r="E60" s="25">
        <f t="shared" si="19"/>
        <v>4.3048367030886396E-3</v>
      </c>
      <c r="F60" s="25">
        <f t="shared" si="2"/>
        <v>3.7775921353206737E-3</v>
      </c>
      <c r="G60" s="30">
        <f t="shared" si="3"/>
        <v>8.1669614840757006E-6</v>
      </c>
      <c r="H60" s="9">
        <f>'hours (2)'!$K60</f>
        <v>48.759469070866004</v>
      </c>
      <c r="I60" s="7">
        <f t="shared" si="4"/>
        <v>0</v>
      </c>
      <c r="J60" s="9">
        <f t="shared" si="5"/>
        <v>0.13049457723842792</v>
      </c>
      <c r="K60" s="18">
        <f t="shared" si="20"/>
        <v>3.2824710737111578E-3</v>
      </c>
      <c r="L60" s="19">
        <f t="shared" si="6"/>
        <v>2.1017182517751171E-3</v>
      </c>
      <c r="M60" s="19">
        <f t="shared" si="7"/>
        <v>5.2706004748077594E-2</v>
      </c>
      <c r="N60" s="19">
        <f t="shared" si="8"/>
        <v>3.3517218010544324E-2</v>
      </c>
      <c r="O60" s="19">
        <f t="shared" si="9"/>
        <v>-1.8664250497901769E-7</v>
      </c>
      <c r="P60" s="21">
        <f t="shared" si="10"/>
        <v>34.314884725468254</v>
      </c>
      <c r="Q60" s="9">
        <f t="shared" si="21"/>
        <v>0.7037583751290587</v>
      </c>
      <c r="R60" s="9">
        <f t="shared" si="11"/>
        <v>5.8578908085989667</v>
      </c>
      <c r="S60" s="6">
        <f t="shared" si="22"/>
        <v>2.5007717394857014E-2</v>
      </c>
      <c r="T60" s="6">
        <f t="shared" si="12"/>
        <v>2.288833551372272E-2</v>
      </c>
      <c r="U60" s="6">
        <f t="shared" si="13"/>
        <v>0.55288346394952093</v>
      </c>
      <c r="V60" s="6">
        <f t="shared" si="14"/>
        <v>-4.9208821773047747E-3</v>
      </c>
      <c r="W60" s="6">
        <f t="shared" si="15"/>
        <v>-0.14223505806086531</v>
      </c>
      <c r="X60" s="6">
        <f t="shared" si="16"/>
        <v>-0.14715594023817014</v>
      </c>
      <c r="Y60">
        <f t="shared" si="17"/>
        <v>0.70529264091955945</v>
      </c>
      <c r="AA60" s="43">
        <f t="shared" si="23"/>
        <v>49</v>
      </c>
      <c r="AB60" s="6">
        <f t="shared" si="24"/>
        <v>0.83092587580813382</v>
      </c>
      <c r="AC60" s="6">
        <f>VLOOKUP($C60,'hours (1)'!$A$19:$P$103,16)</f>
        <v>0.44004271579192589</v>
      </c>
      <c r="AD60" s="6">
        <f t="shared" si="25"/>
        <v>0.89493225649039743</v>
      </c>
    </row>
    <row r="61" spans="1:30" x14ac:dyDescent="0.25">
      <c r="A61" s="39">
        <f>'hours (1)'!$A61*'hours (1)'!$B61/'hours (1)'!$A$105</f>
        <v>9.3259725650200853E-2</v>
      </c>
      <c r="B61" s="9">
        <f>'hours (2)'!$E61</f>
        <v>48.194425019587612</v>
      </c>
      <c r="C61" s="26">
        <f t="shared" si="18"/>
        <v>50</v>
      </c>
      <c r="D61" s="25">
        <f t="shared" si="1"/>
        <v>0.79509963261239591</v>
      </c>
      <c r="E61" s="25">
        <f t="shared" si="19"/>
        <v>4.2173332117916356E-3</v>
      </c>
      <c r="F61" s="25">
        <f t="shared" si="2"/>
        <v>3.7006335353790294E-3</v>
      </c>
      <c r="G61" s="30">
        <f t="shared" si="3"/>
        <v>8.2086183803563457E-6</v>
      </c>
      <c r="H61" s="9">
        <f>'hours (2)'!$K61</f>
        <v>49.759469070866004</v>
      </c>
      <c r="I61" s="7">
        <f t="shared" si="4"/>
        <v>0</v>
      </c>
      <c r="J61" s="9">
        <f t="shared" si="5"/>
        <v>0.12782971081323388</v>
      </c>
      <c r="K61" s="18">
        <f t="shared" si="20"/>
        <v>3.2154388096805914E-3</v>
      </c>
      <c r="L61" s="19">
        <f t="shared" si="6"/>
        <v>2.0037257061221031E-3</v>
      </c>
      <c r="M61" s="19">
        <f t="shared" si="7"/>
        <v>5.2891065140552203E-2</v>
      </c>
      <c r="N61" s="19">
        <f t="shared" si="8"/>
        <v>3.3688177954092902E-2</v>
      </c>
      <c r="O61" s="19">
        <f t="shared" si="9"/>
        <v>-1.6057893605092577E-7</v>
      </c>
      <c r="P61" s="21">
        <f t="shared" si="10"/>
        <v>34.338820160826188</v>
      </c>
      <c r="Q61" s="9">
        <f t="shared" si="21"/>
        <v>0.69009619278537371</v>
      </c>
      <c r="R61" s="9">
        <f t="shared" si="11"/>
        <v>5.8599334604435729</v>
      </c>
      <c r="S61" s="6">
        <f t="shared" si="22"/>
        <v>2.4999000220778021E-2</v>
      </c>
      <c r="T61" s="6">
        <f t="shared" si="12"/>
        <v>2.2922210873702237E-2</v>
      </c>
      <c r="U61" s="6">
        <f t="shared" si="13"/>
        <v>0.55159816908056591</v>
      </c>
      <c r="V61" s="6">
        <f t="shared" si="14"/>
        <v>-4.8222268518537028E-3</v>
      </c>
      <c r="W61" s="6">
        <f t="shared" si="15"/>
        <v>-0.14163643313414781</v>
      </c>
      <c r="X61" s="6">
        <f t="shared" si="16"/>
        <v>-0.14645865998600141</v>
      </c>
      <c r="Y61">
        <f t="shared" si="17"/>
        <v>0.70819948774671504</v>
      </c>
      <c r="AA61" s="43">
        <f t="shared" si="23"/>
        <v>50</v>
      </c>
      <c r="AB61" s="6">
        <f t="shared" si="24"/>
        <v>0.9066693644887247</v>
      </c>
      <c r="AC61" s="6">
        <f>VLOOKUP($C61,'hours (1)'!$A$19:$P$103,16)</f>
        <v>0.3032477864986225</v>
      </c>
      <c r="AD61" s="6">
        <f t="shared" si="25"/>
        <v>0.94440000546092429</v>
      </c>
    </row>
    <row r="62" spans="1:30" x14ac:dyDescent="0.25">
      <c r="A62" s="39">
        <f>'hours (1)'!$A62*'hours (1)'!$B62/'hours (1)'!$A$105</f>
        <v>1.8249113161539524E-4</v>
      </c>
      <c r="B62" s="9">
        <f>'hours (2)'!$E62</f>
        <v>49.194425019587612</v>
      </c>
      <c r="C62" s="26">
        <f t="shared" si="18"/>
        <v>51</v>
      </c>
      <c r="D62" s="25">
        <f t="shared" si="1"/>
        <v>0.77950944373764308</v>
      </c>
      <c r="E62" s="25">
        <f t="shared" si="19"/>
        <v>4.1333166348679496E-3</v>
      </c>
      <c r="F62" s="25">
        <f t="shared" si="2"/>
        <v>3.6267483246595119E-3</v>
      </c>
      <c r="G62" s="30">
        <f t="shared" si="3"/>
        <v>8.2486116827546504E-6</v>
      </c>
      <c r="H62" s="9">
        <f>'hours (2)'!$K62</f>
        <v>50.759469070866004</v>
      </c>
      <c r="I62" s="7">
        <f t="shared" si="4"/>
        <v>0</v>
      </c>
      <c r="J62" s="9">
        <f t="shared" si="5"/>
        <v>0.12527151490712318</v>
      </c>
      <c r="K62" s="18">
        <f t="shared" si="20"/>
        <v>3.1510897444519872E-3</v>
      </c>
      <c r="L62" s="19">
        <f t="shared" si="6"/>
        <v>1.90968326385553E-3</v>
      </c>
      <c r="M62" s="19">
        <f t="shared" si="7"/>
        <v>5.3068741255886259E-2</v>
      </c>
      <c r="N62" s="19">
        <f t="shared" si="8"/>
        <v>3.3852310506702503E-2</v>
      </c>
      <c r="O62" s="19">
        <f t="shared" si="9"/>
        <v>-1.3806298693186392E-7</v>
      </c>
      <c r="P62" s="21">
        <f t="shared" si="10"/>
        <v>34.361614231611341</v>
      </c>
      <c r="Q62" s="9">
        <f t="shared" si="21"/>
        <v>0.67694983538221432</v>
      </c>
      <c r="R62" s="9">
        <f t="shared" si="11"/>
        <v>5.8618780464635512</v>
      </c>
      <c r="S62" s="6">
        <f t="shared" si="22"/>
        <v>2.4990707194898355E-2</v>
      </c>
      <c r="T62" s="6">
        <f t="shared" si="12"/>
        <v>2.2954832171496374E-2</v>
      </c>
      <c r="U62" s="6">
        <f t="shared" si="13"/>
        <v>0.55037359396394292</v>
      </c>
      <c r="V62" s="6">
        <f t="shared" si="14"/>
        <v>-4.7274495296492644E-3</v>
      </c>
      <c r="W62" s="6">
        <f t="shared" si="15"/>
        <v>-0.14106763178110343</v>
      </c>
      <c r="X62" s="6">
        <f t="shared" si="16"/>
        <v>-0.14579508131075253</v>
      </c>
      <c r="Y62">
        <f t="shared" si="17"/>
        <v>0.71099512792194419</v>
      </c>
      <c r="AA62" s="43">
        <f t="shared" si="23"/>
        <v>51</v>
      </c>
      <c r="AB62" s="6">
        <f t="shared" si="24"/>
        <v>0.90681475624768504</v>
      </c>
      <c r="AC62" s="6">
        <f>VLOOKUP($C62,'hours (1)'!$A$19:$P$103,16)</f>
        <v>0.26537239064064738</v>
      </c>
      <c r="AD62" s="6">
        <f t="shared" si="25"/>
        <v>0.94448310043024797</v>
      </c>
    </row>
    <row r="63" spans="1:30" x14ac:dyDescent="0.25">
      <c r="A63" s="39">
        <f>'hours (1)'!$A63*'hours (1)'!$B63/'hours (1)'!$A$105</f>
        <v>1.2452954545526156E-2</v>
      </c>
      <c r="B63" s="9">
        <f>'hours (2)'!$E63</f>
        <v>50.194425019587612</v>
      </c>
      <c r="C63" s="26">
        <f t="shared" si="18"/>
        <v>52</v>
      </c>
      <c r="D63" s="25">
        <f t="shared" si="1"/>
        <v>0.76451887751191916</v>
      </c>
      <c r="E63" s="25">
        <f t="shared" si="19"/>
        <v>4.0525825940063076E-3</v>
      </c>
      <c r="F63" s="25">
        <f t="shared" si="2"/>
        <v>3.5557559820711096E-3</v>
      </c>
      <c r="G63" s="30">
        <f t="shared" si="3"/>
        <v>8.287039105475013E-6</v>
      </c>
      <c r="H63" s="9">
        <f>'hours (2)'!$K63</f>
        <v>51.759469070866004</v>
      </c>
      <c r="I63" s="7">
        <f t="shared" si="4"/>
        <v>0</v>
      </c>
      <c r="J63" s="9">
        <f t="shared" si="5"/>
        <v>0.12281370991246121</v>
      </c>
      <c r="K63" s="18">
        <f t="shared" si="20"/>
        <v>3.0892659202706942E-3</v>
      </c>
      <c r="L63" s="19">
        <f t="shared" si="6"/>
        <v>1.8193568133824528E-3</v>
      </c>
      <c r="M63" s="19">
        <f t="shared" si="7"/>
        <v>5.323946646778676E-2</v>
      </c>
      <c r="N63" s="19">
        <f t="shared" si="8"/>
        <v>3.4010016687564634E-2</v>
      </c>
      <c r="O63" s="19">
        <f t="shared" si="9"/>
        <v>-1.1860167618837902E-7</v>
      </c>
      <c r="P63" s="21">
        <f t="shared" si="10"/>
        <v>34.383346513742467</v>
      </c>
      <c r="Q63" s="9">
        <f t="shared" si="21"/>
        <v>0.6642909429126258</v>
      </c>
      <c r="R63" s="9">
        <f t="shared" si="11"/>
        <v>5.8637314496609125</v>
      </c>
      <c r="S63" s="6">
        <f t="shared" si="22"/>
        <v>2.4982808153645022E-2</v>
      </c>
      <c r="T63" s="6">
        <f t="shared" si="12"/>
        <v>2.2986266513292521E-2</v>
      </c>
      <c r="U63" s="6">
        <f t="shared" si="13"/>
        <v>0.54920555244170266</v>
      </c>
      <c r="V63" s="6">
        <f t="shared" si="14"/>
        <v>-4.6363259594357003E-3</v>
      </c>
      <c r="W63" s="6">
        <f t="shared" si="15"/>
        <v>-0.14052649714302187</v>
      </c>
      <c r="X63" s="6">
        <f t="shared" si="16"/>
        <v>-0.14516282310245768</v>
      </c>
      <c r="Y63">
        <f t="shared" si="17"/>
        <v>0.71368576192782873</v>
      </c>
      <c r="AA63" s="43">
        <f t="shared" si="23"/>
        <v>52</v>
      </c>
      <c r="AB63" s="6">
        <f t="shared" si="24"/>
        <v>0.91655057036861132</v>
      </c>
      <c r="AC63" s="6">
        <f>VLOOKUP($C63,'hours (1)'!$A$19:$P$103,16)</f>
        <v>0.46102045026124311</v>
      </c>
      <c r="AD63" s="6">
        <f t="shared" si="25"/>
        <v>0.95414965414240505</v>
      </c>
    </row>
    <row r="64" spans="1:30" x14ac:dyDescent="0.25">
      <c r="A64" s="39">
        <f>'hours (1)'!$A64*'hours (1)'!$B64/'hours (1)'!$A$105</f>
        <v>7.3997926365189078E-4</v>
      </c>
      <c r="B64" s="9">
        <f>'hours (2)'!$E64</f>
        <v>51.194425019587612</v>
      </c>
      <c r="C64" s="26">
        <f t="shared" si="18"/>
        <v>53</v>
      </c>
      <c r="D64" s="25">
        <f t="shared" si="1"/>
        <v>0.75009399303056212</v>
      </c>
      <c r="E64" s="25">
        <f t="shared" si="19"/>
        <v>3.9749423789880826E-3</v>
      </c>
      <c r="F64" s="25">
        <f t="shared" si="2"/>
        <v>3.4874898540705281E-3</v>
      </c>
      <c r="G64" s="30">
        <f t="shared" si="3"/>
        <v>8.323990856361302E-6</v>
      </c>
      <c r="H64" s="9">
        <f>'hours (2)'!$K64</f>
        <v>52.759469070866004</v>
      </c>
      <c r="I64" s="7">
        <f t="shared" si="4"/>
        <v>0</v>
      </c>
      <c r="J64" s="9">
        <f t="shared" si="5"/>
        <v>0.12045049967264981</v>
      </c>
      <c r="K64" s="18">
        <f t="shared" si="20"/>
        <v>3.0298215401482489E-3</v>
      </c>
      <c r="L64" s="19">
        <f t="shared" si="6"/>
        <v>1.7325303838996303E-3</v>
      </c>
      <c r="M64" s="19">
        <f t="shared" si="7"/>
        <v>5.3403640884914221E-2</v>
      </c>
      <c r="N64" s="19">
        <f t="shared" si="8"/>
        <v>3.4161666709759793E-2</v>
      </c>
      <c r="O64" s="19">
        <f t="shared" si="9"/>
        <v>-1.0177486846341122E-7</v>
      </c>
      <c r="P64" s="21">
        <f t="shared" si="10"/>
        <v>34.40408936677683</v>
      </c>
      <c r="Q64" s="9">
        <f t="shared" si="21"/>
        <v>0.6520931687270316</v>
      </c>
      <c r="R64" s="9">
        <f t="shared" si="11"/>
        <v>5.865499924710325</v>
      </c>
      <c r="S64" s="6">
        <f t="shared" si="22"/>
        <v>2.4975275722743804E-2</v>
      </c>
      <c r="T64" s="6">
        <f t="shared" si="12"/>
        <v>2.301657641999464E-2</v>
      </c>
      <c r="U64" s="6">
        <f t="shared" si="13"/>
        <v>0.54809023306888982</v>
      </c>
      <c r="V64" s="6">
        <f t="shared" si="14"/>
        <v>-4.5486488532243026E-3</v>
      </c>
      <c r="W64" s="6">
        <f t="shared" si="15"/>
        <v>-0.14001107418022865</v>
      </c>
      <c r="X64" s="6">
        <f t="shared" si="16"/>
        <v>-0.14455972303345294</v>
      </c>
      <c r="Y64">
        <f t="shared" si="17"/>
        <v>0.7162771432500521</v>
      </c>
      <c r="AA64" s="43">
        <f t="shared" si="23"/>
        <v>53</v>
      </c>
      <c r="AB64" s="6">
        <f t="shared" si="24"/>
        <v>0.91711846889249382</v>
      </c>
      <c r="AC64" s="6">
        <f>VLOOKUP($C64,'hours (1)'!$A$19:$P$103,16)</f>
        <v>0.187520309125004</v>
      </c>
      <c r="AD64" s="6">
        <f t="shared" si="25"/>
        <v>0.95437900388358943</v>
      </c>
    </row>
    <row r="65" spans="1:30" x14ac:dyDescent="0.25">
      <c r="A65" s="39">
        <f>'hours (1)'!$A65*'hours (1)'!$B65/'hours (1)'!$A$105</f>
        <v>9.2957276418990117E-4</v>
      </c>
      <c r="B65" s="9">
        <f>'hours (2)'!$E65</f>
        <v>52.194425019587612</v>
      </c>
      <c r="C65" s="26">
        <f t="shared" si="18"/>
        <v>54</v>
      </c>
      <c r="D65" s="25">
        <f t="shared" si="1"/>
        <v>0.73620336352999616</v>
      </c>
      <c r="E65" s="25">
        <f t="shared" si="19"/>
        <v>3.9002214743128244E-3</v>
      </c>
      <c r="F65" s="25">
        <f t="shared" si="2"/>
        <v>3.4217958480048556E-3</v>
      </c>
      <c r="G65" s="30">
        <f t="shared" si="3"/>
        <v>8.359550344176995E-6</v>
      </c>
      <c r="H65" s="9">
        <f>'hours (2)'!$K65</f>
        <v>53.759469070866004</v>
      </c>
      <c r="I65" s="7">
        <f t="shared" si="4"/>
        <v>0</v>
      </c>
      <c r="J65" s="9">
        <f t="shared" si="5"/>
        <v>0.11817652583277125</v>
      </c>
      <c r="K65" s="18">
        <f t="shared" si="20"/>
        <v>2.9726218195948095E-3</v>
      </c>
      <c r="L65" s="19">
        <f t="shared" si="6"/>
        <v>1.6490044217598171E-3</v>
      </c>
      <c r="M65" s="19">
        <f t="shared" si="7"/>
        <v>5.3561634482821863E-2</v>
      </c>
      <c r="N65" s="19">
        <f t="shared" si="8"/>
        <v>3.43076028829358E-2</v>
      </c>
      <c r="O65" s="19">
        <f t="shared" si="9"/>
        <v>-8.7223608252751106E-8</v>
      </c>
      <c r="P65" s="21">
        <f t="shared" si="10"/>
        <v>34.423908732503264</v>
      </c>
      <c r="Q65" s="9">
        <f t="shared" si="21"/>
        <v>0.64033200713209226</v>
      </c>
      <c r="R65" s="9">
        <f t="shared" si="11"/>
        <v>5.8671891679494417</v>
      </c>
      <c r="S65" s="6">
        <f t="shared" si="22"/>
        <v>2.4968085002545076E-2</v>
      </c>
      <c r="T65" s="6">
        <f t="shared" si="12"/>
        <v>2.3045820198435901E-2</v>
      </c>
      <c r="U65" s="6">
        <f t="shared" si="13"/>
        <v>0.547024158253965</v>
      </c>
      <c r="V65" s="6">
        <f t="shared" si="14"/>
        <v>-4.4642263120982717E-3</v>
      </c>
      <c r="W65" s="6">
        <f t="shared" si="15"/>
        <v>-0.13951958671898498</v>
      </c>
      <c r="X65" s="6">
        <f t="shared" si="16"/>
        <v>-0.14398381303108332</v>
      </c>
      <c r="Y65">
        <f t="shared" si="17"/>
        <v>0.7187746173260694</v>
      </c>
      <c r="AA65" s="43">
        <f t="shared" si="23"/>
        <v>54</v>
      </c>
      <c r="AB65" s="6">
        <f t="shared" si="24"/>
        <v>0.91781900438060515</v>
      </c>
      <c r="AC65" s="6">
        <f>VLOOKUP($C65,'hours (1)'!$A$19:$P$103,16)</f>
        <v>0.25213222401674296</v>
      </c>
      <c r="AD65" s="6">
        <f t="shared" si="25"/>
        <v>0.95475940142369842</v>
      </c>
    </row>
    <row r="66" spans="1:30" x14ac:dyDescent="0.25">
      <c r="A66" s="39">
        <f>'hours (1)'!$A66*'hours (1)'!$B66/'hours (1)'!$A$105</f>
        <v>2.5405581773995402E-2</v>
      </c>
      <c r="B66" s="9">
        <f>'hours (2)'!$E66</f>
        <v>53.194425019587612</v>
      </c>
      <c r="C66" s="26">
        <f t="shared" si="18"/>
        <v>55</v>
      </c>
      <c r="D66" s="25">
        <f t="shared" si="1"/>
        <v>0.7228178478294508</v>
      </c>
      <c r="E66" s="25">
        <f t="shared" si="19"/>
        <v>3.8282582490342938E-3</v>
      </c>
      <c r="F66" s="25">
        <f t="shared" si="2"/>
        <v>3.3585312704773789E-3</v>
      </c>
      <c r="G66" s="30">
        <f t="shared" si="3"/>
        <v>8.3937948073857739E-6</v>
      </c>
      <c r="H66" s="9">
        <f>'hours (2)'!$K66</f>
        <v>54.759469070866004</v>
      </c>
      <c r="I66" s="7">
        <f t="shared" si="4"/>
        <v>0</v>
      </c>
      <c r="J66" s="9">
        <f t="shared" si="5"/>
        <v>0.11598682726718511</v>
      </c>
      <c r="K66" s="18">
        <f t="shared" si="20"/>
        <v>2.9175419660576719E-3</v>
      </c>
      <c r="L66" s="19">
        <f t="shared" si="6"/>
        <v>1.568594259687292E-3</v>
      </c>
      <c r="M66" s="19">
        <f t="shared" si="7"/>
        <v>5.3713789888549725E-2</v>
      </c>
      <c r="N66" s="19">
        <f t="shared" si="8"/>
        <v>3.4448142193824027E-2</v>
      </c>
      <c r="O66" s="19">
        <f t="shared" si="9"/>
        <v>-7.4640481323440255E-8</v>
      </c>
      <c r="P66" s="21">
        <f t="shared" si="10"/>
        <v>34.442864829934202</v>
      </c>
      <c r="Q66" s="9">
        <f t="shared" si="21"/>
        <v>0.62898463798764326</v>
      </c>
      <c r="R66" s="9">
        <f t="shared" si="11"/>
        <v>5.8688043782302204</v>
      </c>
      <c r="S66" s="6">
        <f t="shared" si="22"/>
        <v>2.4961213294955528E-2</v>
      </c>
      <c r="T66" s="6">
        <f t="shared" si="12"/>
        <v>2.3074052279044549E-2</v>
      </c>
      <c r="U66" s="6">
        <f t="shared" si="13"/>
        <v>0.54600414861328483</v>
      </c>
      <c r="V66" s="6">
        <f t="shared" si="14"/>
        <v>-4.3828804241263933E-3</v>
      </c>
      <c r="W66" s="6">
        <f t="shared" si="15"/>
        <v>-0.13905041754928549</v>
      </c>
      <c r="X66" s="6">
        <f t="shared" si="16"/>
        <v>-0.14343329797341184</v>
      </c>
      <c r="Y66">
        <f t="shared" si="17"/>
        <v>0.72118315657291909</v>
      </c>
      <c r="AA66" s="43">
        <f t="shared" si="23"/>
        <v>55</v>
      </c>
      <c r="AB66" s="6">
        <f t="shared" si="24"/>
        <v>0.9366256232166944</v>
      </c>
      <c r="AC66" s="6">
        <f>VLOOKUP($C66,'hours (1)'!$A$19:$P$103,16)</f>
        <v>0.29727298917413836</v>
      </c>
      <c r="AD66" s="6">
        <f t="shared" si="25"/>
        <v>0.96679992512592372</v>
      </c>
    </row>
    <row r="67" spans="1:30" x14ac:dyDescent="0.25">
      <c r="A67" s="39">
        <f>'hours (1)'!$A67*'hours (1)'!$B67/'hours (1)'!$A$105</f>
        <v>2.5752398627161503E-3</v>
      </c>
      <c r="B67" s="9">
        <f>'hours (2)'!$E67</f>
        <v>54.194425019587612</v>
      </c>
      <c r="C67" s="26">
        <f t="shared" si="18"/>
        <v>56</v>
      </c>
      <c r="D67" s="25">
        <f t="shared" si="1"/>
        <v>0.70991038626106773</v>
      </c>
      <c r="E67" s="25">
        <f t="shared" si="19"/>
        <v>3.7589027890942797E-3</v>
      </c>
      <c r="F67" s="25">
        <f t="shared" si="2"/>
        <v>3.2975637922973092E-3</v>
      </c>
      <c r="G67" s="30">
        <f t="shared" si="3"/>
        <v>8.4267958744135685E-6</v>
      </c>
      <c r="H67" s="9">
        <f>'hours (2)'!$K67</f>
        <v>55.759469070866004</v>
      </c>
      <c r="I67" s="7">
        <f t="shared" si="4"/>
        <v>0</v>
      </c>
      <c r="J67" s="9">
        <f t="shared" si="5"/>
        <v>0.11387680393727652</v>
      </c>
      <c r="K67" s="18">
        <f t="shared" si="20"/>
        <v>2.8644662697961641E-3</v>
      </c>
      <c r="L67" s="19">
        <f t="shared" si="6"/>
        <v>1.4911287541326812E-3</v>
      </c>
      <c r="M67" s="19">
        <f t="shared" si="7"/>
        <v>5.3860424862005291E-2</v>
      </c>
      <c r="N67" s="19">
        <f t="shared" si="8"/>
        <v>3.458357860555536E-2</v>
      </c>
      <c r="O67" s="19">
        <f t="shared" si="9"/>
        <v>-6.376162460519641E-8</v>
      </c>
      <c r="P67" s="21">
        <f t="shared" si="10"/>
        <v>34.461012762023863</v>
      </c>
      <c r="Q67" s="9">
        <f t="shared" si="21"/>
        <v>0.61802978644266793</v>
      </c>
      <c r="R67" s="9">
        <f t="shared" si="11"/>
        <v>5.8703503099920589</v>
      </c>
      <c r="S67" s="6">
        <f t="shared" si="22"/>
        <v>2.4954639865703614E-2</v>
      </c>
      <c r="T67" s="6">
        <f t="shared" si="12"/>
        <v>2.3101323523125383E-2</v>
      </c>
      <c r="U67" s="6">
        <f t="shared" si="13"/>
        <v>0.54502729178214249</v>
      </c>
      <c r="V67" s="6">
        <f t="shared" si="14"/>
        <v>-4.3044460128248557E-3</v>
      </c>
      <c r="W67" s="6">
        <f t="shared" si="15"/>
        <v>-0.13860209111218394</v>
      </c>
      <c r="X67" s="6">
        <f t="shared" si="16"/>
        <v>-0.14290653712500898</v>
      </c>
      <c r="Y67">
        <f t="shared" si="17"/>
        <v>0.72350739193450575</v>
      </c>
      <c r="AA67" s="43">
        <f t="shared" si="23"/>
        <v>56</v>
      </c>
      <c r="AB67" s="6">
        <f t="shared" si="24"/>
        <v>0.93849875629185397</v>
      </c>
      <c r="AC67" s="6">
        <f>VLOOKUP($C67,'hours (1)'!$A$19:$P$103,16)</f>
        <v>0.23099471418976511</v>
      </c>
      <c r="AD67" s="6">
        <f t="shared" si="25"/>
        <v>0.96773178342839805</v>
      </c>
    </row>
    <row r="68" spans="1:30" x14ac:dyDescent="0.25">
      <c r="A68" s="39">
        <f>'hours (1)'!$A68*'hours (1)'!$B68/'hours (1)'!$A$105</f>
        <v>3.1776867947257284E-4</v>
      </c>
      <c r="B68" s="9">
        <f>'hours (2)'!$E68</f>
        <v>55.194425019587612</v>
      </c>
      <c r="C68" s="26">
        <f t="shared" si="18"/>
        <v>57</v>
      </c>
      <c r="D68" s="25">
        <f t="shared" si="1"/>
        <v>0.69745581808104906</v>
      </c>
      <c r="E68" s="25">
        <f t="shared" si="19"/>
        <v>3.6920158543930219E-3</v>
      </c>
      <c r="F68" s="25">
        <f t="shared" si="2"/>
        <v>3.2387705242065247E-3</v>
      </c>
      <c r="G68" s="30">
        <f t="shared" si="3"/>
        <v>8.4586200639481367E-6</v>
      </c>
      <c r="H68" s="9">
        <f>'hours (2)'!$K68</f>
        <v>56.759469070866004</v>
      </c>
      <c r="I68" s="7">
        <f t="shared" si="4"/>
        <v>0</v>
      </c>
      <c r="J68" s="9">
        <f t="shared" si="5"/>
        <v>0.11184218462506132</v>
      </c>
      <c r="K68" s="18">
        <f t="shared" si="20"/>
        <v>2.8132872922501627E-3</v>
      </c>
      <c r="L68" s="19">
        <f t="shared" si="6"/>
        <v>1.4164490696089299E-3</v>
      </c>
      <c r="M68" s="19">
        <f t="shared" si="7"/>
        <v>5.4001834511966343E-2</v>
      </c>
      <c r="N68" s="19">
        <f t="shared" si="8"/>
        <v>3.4714185110890153E-2</v>
      </c>
      <c r="O68" s="19">
        <f t="shared" si="9"/>
        <v>-5.4360078258208766E-8</v>
      </c>
      <c r="P68" s="21">
        <f t="shared" si="10"/>
        <v>34.478403046904987</v>
      </c>
      <c r="Q68" s="9">
        <f t="shared" si="21"/>
        <v>0.6074475961686252</v>
      </c>
      <c r="R68" s="9">
        <f t="shared" si="11"/>
        <v>5.8718313196910712</v>
      </c>
      <c r="S68" s="6">
        <f t="shared" si="22"/>
        <v>2.4948345736723349E-2</v>
      </c>
      <c r="T68" s="6">
        <f t="shared" si="12"/>
        <v>2.3127681502646422E-2</v>
      </c>
      <c r="U68" s="6">
        <f t="shared" si="13"/>
        <v>0.54409091504767793</v>
      </c>
      <c r="V68" s="6">
        <f t="shared" si="14"/>
        <v>-4.228769517640351E-3</v>
      </c>
      <c r="W68" s="6">
        <f t="shared" si="15"/>
        <v>-0.138173258393128</v>
      </c>
      <c r="X68" s="6">
        <f t="shared" si="16"/>
        <v>-0.14240202791076825</v>
      </c>
      <c r="Y68">
        <f t="shared" si="17"/>
        <v>0.72575164133524439</v>
      </c>
      <c r="AA68" s="43">
        <f t="shared" si="23"/>
        <v>57</v>
      </c>
      <c r="AB68" s="6">
        <f t="shared" si="24"/>
        <v>0.93872593176775687</v>
      </c>
      <c r="AC68" s="6">
        <f>VLOOKUP($C68,'hours (1)'!$A$19:$P$103,16)</f>
        <v>0.48320716927308266</v>
      </c>
      <c r="AD68" s="6">
        <f t="shared" si="25"/>
        <v>0.96796819787963351</v>
      </c>
    </row>
    <row r="69" spans="1:30" x14ac:dyDescent="0.25">
      <c r="A69" s="39">
        <f>'hours (1)'!$A69*'hours (1)'!$B69/'hours (1)'!$A$105</f>
        <v>9.4208780201180179E-4</v>
      </c>
      <c r="B69" s="9">
        <f>'hours (2)'!$E69</f>
        <v>56.194425019587612</v>
      </c>
      <c r="C69" s="26">
        <f t="shared" si="18"/>
        <v>58</v>
      </c>
      <c r="D69" s="25">
        <f t="shared" si="1"/>
        <v>0.68543071776930686</v>
      </c>
      <c r="E69" s="25">
        <f t="shared" si="19"/>
        <v>3.6274679453205038E-3</v>
      </c>
      <c r="F69" s="25">
        <f t="shared" si="2"/>
        <v>3.182037189792394E-3</v>
      </c>
      <c r="G69" s="30">
        <f t="shared" si="3"/>
        <v>8.489329232632811E-6</v>
      </c>
      <c r="H69" s="9">
        <f>'hours (2)'!$K69</f>
        <v>57.759469070866004</v>
      </c>
      <c r="I69" s="7">
        <f t="shared" si="4"/>
        <v>0</v>
      </c>
      <c r="J69" s="9">
        <f t="shared" si="5"/>
        <v>0.10987899806619784</v>
      </c>
      <c r="K69" s="18">
        <f t="shared" si="20"/>
        <v>2.7639051399175503E-3</v>
      </c>
      <c r="L69" s="19">
        <f t="shared" si="6"/>
        <v>1.3444075918376541E-3</v>
      </c>
      <c r="M69" s="19">
        <f t="shared" si="7"/>
        <v>5.413829327924112E-2</v>
      </c>
      <c r="N69" s="19">
        <f t="shared" si="8"/>
        <v>3.4840215569553849E-2</v>
      </c>
      <c r="O69" s="19">
        <f t="shared" si="9"/>
        <v>-4.6240237777661619E-8</v>
      </c>
      <c r="P69" s="21">
        <f t="shared" si="10"/>
        <v>34.495082084364249</v>
      </c>
      <c r="Q69" s="9">
        <f t="shared" si="21"/>
        <v>0.59721951463995782</v>
      </c>
      <c r="R69" s="9">
        <f t="shared" si="11"/>
        <v>5.873251406534906</v>
      </c>
      <c r="S69" s="6">
        <f t="shared" si="22"/>
        <v>2.4942313504301504E-2</v>
      </c>
      <c r="T69" s="6">
        <f t="shared" si="12"/>
        <v>2.3153170755157947E-2</v>
      </c>
      <c r="U69" s="6">
        <f t="shared" si="13"/>
        <v>0.54319256126986815</v>
      </c>
      <c r="V69" s="6">
        <f t="shared" si="14"/>
        <v>-4.1557079904869969E-3</v>
      </c>
      <c r="W69" s="6">
        <f t="shared" si="15"/>
        <v>-0.1377626837011566</v>
      </c>
      <c r="X69" s="6">
        <f t="shared" si="16"/>
        <v>-0.14191839169164361</v>
      </c>
      <c r="Y69">
        <f t="shared" si="17"/>
        <v>0.72791993538030675</v>
      </c>
      <c r="AA69" s="43">
        <f t="shared" si="23"/>
        <v>58</v>
      </c>
      <c r="AB69" s="6">
        <f t="shared" si="24"/>
        <v>0.93938809781802746</v>
      </c>
      <c r="AC69" s="6">
        <f>VLOOKUP($C69,'hours (1)'!$A$19:$P$103,16)</f>
        <v>0.2790711788398742</v>
      </c>
      <c r="AD69" s="6">
        <f t="shared" si="25"/>
        <v>0.96836617774574607</v>
      </c>
    </row>
    <row r="70" spans="1:30" x14ac:dyDescent="0.25">
      <c r="A70" s="39">
        <f>'hours (1)'!$A70*'hours (1)'!$B70/'hours (1)'!$A$105</f>
        <v>2.2411880129843259E-4</v>
      </c>
      <c r="B70" s="9">
        <f>'hours (2)'!$E70</f>
        <v>57.194425019587612</v>
      </c>
      <c r="C70" s="26">
        <f t="shared" si="18"/>
        <v>59</v>
      </c>
      <c r="D70" s="25">
        <f t="shared" si="1"/>
        <v>0.67381324797660669</v>
      </c>
      <c r="E70" s="25">
        <f t="shared" si="19"/>
        <v>3.5651384655746364E-3</v>
      </c>
      <c r="F70" s="25">
        <f t="shared" si="2"/>
        <v>3.1272573838690373E-3</v>
      </c>
      <c r="G70" s="30">
        <f t="shared" si="3"/>
        <v>8.5189809764970878E-6</v>
      </c>
      <c r="H70" s="9">
        <f>'hours (2)'!$K70</f>
        <v>58.759469070866004</v>
      </c>
      <c r="I70" s="7">
        <f t="shared" si="4"/>
        <v>0</v>
      </c>
      <c r="J70" s="9">
        <f t="shared" si="5"/>
        <v>0.10798354707177461</v>
      </c>
      <c r="K70" s="18">
        <f t="shared" si="20"/>
        <v>2.7162268134115876E-3</v>
      </c>
      <c r="L70" s="19">
        <f t="shared" si="6"/>
        <v>1.2748669540618568E-3</v>
      </c>
      <c r="M70" s="19">
        <f t="shared" si="7"/>
        <v>5.4270056715040177E-2</v>
      </c>
      <c r="N70" s="19">
        <f t="shared" si="8"/>
        <v>3.4961906355708484E-2</v>
      </c>
      <c r="O70" s="19">
        <f t="shared" si="9"/>
        <v>-3.9233207030364703E-8</v>
      </c>
      <c r="P70" s="21">
        <f t="shared" si="10"/>
        <v>34.511092566571897</v>
      </c>
      <c r="Q70" s="9">
        <f t="shared" si="21"/>
        <v>0.58732818918003316</v>
      </c>
      <c r="R70" s="9">
        <f t="shared" si="11"/>
        <v>5.8746142483206416</v>
      </c>
      <c r="S70" s="6">
        <f t="shared" si="22"/>
        <v>2.4936527179337902E-2</v>
      </c>
      <c r="T70" s="6">
        <f t="shared" si="12"/>
        <v>2.3177833016225405E-2</v>
      </c>
      <c r="U70" s="6">
        <f t="shared" si="13"/>
        <v>0.54232996764011221</v>
      </c>
      <c r="V70" s="6">
        <f t="shared" si="14"/>
        <v>-4.0851281945396938E-3</v>
      </c>
      <c r="W70" s="6">
        <f t="shared" si="15"/>
        <v>-0.13736923306574264</v>
      </c>
      <c r="X70" s="6">
        <f t="shared" si="16"/>
        <v>-0.14145436126028232</v>
      </c>
      <c r="Y70">
        <f t="shared" si="17"/>
        <v>0.73001604060191672</v>
      </c>
      <c r="AA70" s="43">
        <f t="shared" si="23"/>
        <v>59</v>
      </c>
      <c r="AB70" s="6">
        <f t="shared" si="24"/>
        <v>0.93954301538800655</v>
      </c>
      <c r="AC70" s="6">
        <f>VLOOKUP($C70,'hours (1)'!$A$19:$P$103,16)</f>
        <v>0.48132803124006113</v>
      </c>
      <c r="AD70" s="6">
        <f t="shared" si="25"/>
        <v>0.96852676868378074</v>
      </c>
    </row>
    <row r="71" spans="1:30" x14ac:dyDescent="0.25">
      <c r="A71" s="39">
        <f>'hours (1)'!$A71*'hours (1)'!$B71/'hours (1)'!$A$105</f>
        <v>5.4872098282793484E-2</v>
      </c>
      <c r="B71" s="9">
        <f>'hours (2)'!$E71</f>
        <v>58.194425019587612</v>
      </c>
      <c r="C71" s="26">
        <f t="shared" si="18"/>
        <v>60</v>
      </c>
      <c r="D71" s="25">
        <f t="shared" si="1"/>
        <v>0.66258302717699658</v>
      </c>
      <c r="E71" s="25">
        <f t="shared" si="19"/>
        <v>3.5049149698736623E-3</v>
      </c>
      <c r="F71" s="25">
        <f t="shared" si="2"/>
        <v>3.0743319061964903E-3</v>
      </c>
      <c r="G71" s="30">
        <f t="shared" si="3"/>
        <v>8.5476289916075589E-6</v>
      </c>
      <c r="H71" s="9">
        <f>'hours (2)'!$K71</f>
        <v>59.759469070866004</v>
      </c>
      <c r="I71" s="7">
        <f t="shared" si="4"/>
        <v>0</v>
      </c>
      <c r="J71" s="9">
        <f t="shared" si="5"/>
        <v>0.10615238528394921</v>
      </c>
      <c r="K71" s="18">
        <f t="shared" si="20"/>
        <v>2.6701656227703873E-3</v>
      </c>
      <c r="L71" s="19">
        <f t="shared" si="6"/>
        <v>1.2076991630118328E-3</v>
      </c>
      <c r="M71" s="19">
        <f t="shared" si="7"/>
        <v>5.4397363078816485E-2</v>
      </c>
      <c r="N71" s="19">
        <f t="shared" si="8"/>
        <v>3.5079477838064477E-2</v>
      </c>
      <c r="O71" s="19">
        <f t="shared" si="9"/>
        <v>-3.3192897624934048E-8</v>
      </c>
      <c r="P71" s="21">
        <f t="shared" si="10"/>
        <v>34.526473840677113</v>
      </c>
      <c r="Q71" s="9">
        <f t="shared" si="21"/>
        <v>0.57775737263886595</v>
      </c>
      <c r="R71" s="9">
        <f t="shared" si="11"/>
        <v>5.8759232330483275</v>
      </c>
      <c r="S71" s="6">
        <f t="shared" si="22"/>
        <v>2.4930972046647317E-2</v>
      </c>
      <c r="T71" s="6">
        <f t="shared" si="12"/>
        <v>2.3201707431528742E-2</v>
      </c>
      <c r="U71" s="6">
        <f t="shared" si="13"/>
        <v>0.54150104689588663</v>
      </c>
      <c r="V71" s="6">
        <f t="shared" si="14"/>
        <v>-4.0169057933302039E-3</v>
      </c>
      <c r="W71" s="6">
        <f t="shared" si="15"/>
        <v>-0.13699186402564945</v>
      </c>
      <c r="X71" s="6">
        <f t="shared" si="16"/>
        <v>-0.14100876981897972</v>
      </c>
      <c r="Y71">
        <f t="shared" si="17"/>
        <v>0.73204348051556689</v>
      </c>
      <c r="AA71" s="43">
        <f t="shared" si="23"/>
        <v>60</v>
      </c>
      <c r="AB71" s="6">
        <f t="shared" si="24"/>
        <v>0.97685416266895986</v>
      </c>
      <c r="AC71" s="6">
        <f>VLOOKUP($C71,'hours (1)'!$A$19:$P$103,16)</f>
        <v>0.2466006219830662</v>
      </c>
      <c r="AD71" s="6">
        <f t="shared" si="25"/>
        <v>0.9883425853382698</v>
      </c>
    </row>
    <row r="72" spans="1:30" x14ac:dyDescent="0.25">
      <c r="A72" s="39">
        <f>'hours (1)'!$A72*'hours (1)'!$B72/'hours (1)'!$A$105</f>
        <v>9.7698279171161041E-5</v>
      </c>
      <c r="B72" s="9">
        <f>'hours (2)'!$E72</f>
        <v>59.194425019587612</v>
      </c>
      <c r="C72" s="26">
        <f t="shared" si="18"/>
        <v>61</v>
      </c>
      <c r="D72" s="25">
        <f t="shared" si="1"/>
        <v>0.65172101033802943</v>
      </c>
      <c r="E72" s="25">
        <f t="shared" si="19"/>
        <v>3.4466924866857302E-3</v>
      </c>
      <c r="F72" s="25">
        <f t="shared" si="2"/>
        <v>3.0231681617573637E-3</v>
      </c>
      <c r="G72" s="30">
        <f t="shared" si="3"/>
        <v>8.5753233986919643E-6</v>
      </c>
      <c r="H72" s="9">
        <f>'hours (2)'!$K72</f>
        <v>60.759469070866004</v>
      </c>
      <c r="I72" s="7">
        <f t="shared" si="4"/>
        <v>0</v>
      </c>
      <c r="J72" s="9">
        <f t="shared" si="5"/>
        <v>0.10438229625788804</v>
      </c>
      <c r="K72" s="18">
        <f t="shared" si="20"/>
        <v>2.6256406612823451E-3</v>
      </c>
      <c r="L72" s="19">
        <f t="shared" si="6"/>
        <v>1.1427848128241075E-3</v>
      </c>
      <c r="M72" s="19">
        <f t="shared" si="7"/>
        <v>5.4520434776599652E-2</v>
      </c>
      <c r="N72" s="19">
        <f t="shared" si="8"/>
        <v>3.5193135712138043E-2</v>
      </c>
      <c r="O72" s="19">
        <f t="shared" si="9"/>
        <v>-2.7992741527538278E-8</v>
      </c>
      <c r="P72" s="21">
        <f t="shared" si="10"/>
        <v>34.541262229717077</v>
      </c>
      <c r="Q72" s="9">
        <f t="shared" si="21"/>
        <v>0.56849183769908085</v>
      </c>
      <c r="R72" s="9">
        <f t="shared" si="11"/>
        <v>5.8771814868793255</v>
      </c>
      <c r="S72" s="6">
        <f t="shared" si="22"/>
        <v>2.4925634540708761E-2</v>
      </c>
      <c r="T72" s="6">
        <f t="shared" si="12"/>
        <v>2.3224830750570434E-2</v>
      </c>
      <c r="U72" s="6">
        <f t="shared" si="13"/>
        <v>0.54070387066731429</v>
      </c>
      <c r="V72" s="6">
        <f t="shared" si="14"/>
        <v>-3.9509246197628077E-3</v>
      </c>
      <c r="W72" s="6">
        <f t="shared" si="15"/>
        <v>-0.13662961661935197</v>
      </c>
      <c r="X72" s="6">
        <f t="shared" si="16"/>
        <v>-0.14058054123911479</v>
      </c>
      <c r="Y72">
        <f t="shared" si="17"/>
        <v>0.73400555471890394</v>
      </c>
      <c r="AA72" s="43">
        <f t="shared" si="23"/>
        <v>61</v>
      </c>
      <c r="AB72" s="6">
        <f t="shared" si="24"/>
        <v>0.97691952878601374</v>
      </c>
      <c r="AC72" s="6">
        <f>VLOOKUP($C72,'hours (1)'!$A$19:$P$103,16)</f>
        <v>0.12348519058061724</v>
      </c>
      <c r="AD72" s="6">
        <f t="shared" si="25"/>
        <v>0.98835996922037206</v>
      </c>
    </row>
    <row r="73" spans="1:30" x14ac:dyDescent="0.25">
      <c r="A73" s="39">
        <f>'hours (1)'!$A73*'hours (1)'!$B73/'hours (1)'!$A$105</f>
        <v>2.178639158205274E-4</v>
      </c>
      <c r="B73" s="9">
        <f>'hours (2)'!$E73</f>
        <v>60.194425019587612</v>
      </c>
      <c r="C73" s="26">
        <f t="shared" si="18"/>
        <v>62</v>
      </c>
      <c r="D73" s="25">
        <f t="shared" si="1"/>
        <v>0.64120938113902892</v>
      </c>
      <c r="E73" s="25">
        <f t="shared" si="19"/>
        <v>3.3903729073896205E-3</v>
      </c>
      <c r="F73" s="25">
        <f t="shared" si="2"/>
        <v>2.9736796199600984E-3</v>
      </c>
      <c r="G73" s="30">
        <f t="shared" si="3"/>
        <v>8.6021110358669176E-6</v>
      </c>
      <c r="H73" s="9">
        <f>'hours (2)'!$K73</f>
        <v>61.759469070866004</v>
      </c>
      <c r="I73" s="7">
        <f t="shared" si="4"/>
        <v>0</v>
      </c>
      <c r="J73" s="9">
        <f t="shared" si="5"/>
        <v>0.10267027460283001</v>
      </c>
      <c r="K73" s="18">
        <f t="shared" si="20"/>
        <v>2.5825763311069436E-3</v>
      </c>
      <c r="L73" s="19">
        <f t="shared" si="6"/>
        <v>1.0800123767606834E-3</v>
      </c>
      <c r="M73" s="19">
        <f t="shared" si="7"/>
        <v>5.4639479658100398E-2</v>
      </c>
      <c r="N73" s="19">
        <f t="shared" si="8"/>
        <v>3.5303072201606119E-2</v>
      </c>
      <c r="O73" s="19">
        <f t="shared" si="9"/>
        <v>-2.3522915740259442E-8</v>
      </c>
      <c r="P73" s="21">
        <f t="shared" si="10"/>
        <v>34.555491317319287</v>
      </c>
      <c r="Q73" s="9">
        <f t="shared" si="21"/>
        <v>0.55951729892089153</v>
      </c>
      <c r="R73" s="9">
        <f t="shared" si="11"/>
        <v>5.8783918989226374</v>
      </c>
      <c r="S73" s="6">
        <f t="shared" si="22"/>
        <v>2.4920502135664314E-2</v>
      </c>
      <c r="T73" s="6">
        <f t="shared" si="12"/>
        <v>2.3247237503742951E-2</v>
      </c>
      <c r="U73" s="6">
        <f t="shared" si="13"/>
        <v>0.53993665467934893</v>
      </c>
      <c r="V73" s="6">
        <f t="shared" si="14"/>
        <v>-3.8870760160079204E-3</v>
      </c>
      <c r="W73" s="6">
        <f t="shared" si="15"/>
        <v>-0.13628160541572334</v>
      </c>
      <c r="X73" s="6">
        <f t="shared" si="16"/>
        <v>-0.14016868143173139</v>
      </c>
      <c r="Y73">
        <f t="shared" si="17"/>
        <v>0.73590535623886333</v>
      </c>
      <c r="AA73" s="43">
        <f t="shared" si="23"/>
        <v>62</v>
      </c>
      <c r="AB73" s="6">
        <f t="shared" si="24"/>
        <v>0.97706299193628632</v>
      </c>
      <c r="AC73" s="6">
        <f>VLOOKUP($C73,'hours (1)'!$A$19:$P$103,16)</f>
        <v>0.34892609262462937</v>
      </c>
      <c r="AD73" s="6">
        <f t="shared" si="25"/>
        <v>0.98846777772311767</v>
      </c>
    </row>
    <row r="74" spans="1:30" x14ac:dyDescent="0.25">
      <c r="A74" s="39">
        <f>'hours (1)'!$A74*'hours (1)'!$B74/'hours (1)'!$A$105</f>
        <v>2.1367286437780667E-4</v>
      </c>
      <c r="B74" s="9">
        <f>'hours (2)'!$E74</f>
        <v>61.194425019587612</v>
      </c>
      <c r="C74" s="26">
        <f t="shared" si="18"/>
        <v>63</v>
      </c>
      <c r="D74" s="25">
        <f t="shared" si="1"/>
        <v>0.63103145445428244</v>
      </c>
      <c r="E74" s="25">
        <f t="shared" si="19"/>
        <v>3.3358644343867271E-3</v>
      </c>
      <c r="F74" s="25">
        <f t="shared" si="2"/>
        <v>2.9257853261227527E-3</v>
      </c>
      <c r="G74" s="30">
        <f t="shared" si="3"/>
        <v>8.6280357230666533E-6</v>
      </c>
      <c r="H74" s="9">
        <f>'hours (2)'!$K74</f>
        <v>62.759469070866004</v>
      </c>
      <c r="I74" s="7">
        <f t="shared" si="4"/>
        <v>0</v>
      </c>
      <c r="J74" s="9">
        <f t="shared" si="5"/>
        <v>0.10101350894960846</v>
      </c>
      <c r="K74" s="18">
        <f t="shared" si="20"/>
        <v>2.5409019148384302E-3</v>
      </c>
      <c r="L74" s="19">
        <f t="shared" si="6"/>
        <v>1.0192775678899563E-3</v>
      </c>
      <c r="M74" s="19">
        <f t="shared" si="7"/>
        <v>5.4754692188502554E-2</v>
      </c>
      <c r="N74" s="19">
        <f t="shared" si="8"/>
        <v>3.5409467143522153E-2</v>
      </c>
      <c r="O74" s="19">
        <f t="shared" si="9"/>
        <v>-1.9687992139361121E-8</v>
      </c>
      <c r="P74" s="21">
        <f t="shared" si="10"/>
        <v>34.569192200870248</v>
      </c>
      <c r="Q74" s="9">
        <f t="shared" si="21"/>
        <v>0.55082034173736893</v>
      </c>
      <c r="R74" s="9">
        <f t="shared" si="11"/>
        <v>5.8795571432608975</v>
      </c>
      <c r="S74" s="6">
        <f t="shared" si="22"/>
        <v>2.4915563247698329E-2</v>
      </c>
      <c r="T74" s="6">
        <f t="shared" si="12"/>
        <v>2.3268960164332005E-2</v>
      </c>
      <c r="U74" s="6">
        <f t="shared" si="13"/>
        <v>0.53919774557335698</v>
      </c>
      <c r="V74" s="6">
        <f t="shared" si="14"/>
        <v>-3.82525823638461E-3</v>
      </c>
      <c r="W74" s="6">
        <f t="shared" si="15"/>
        <v>-0.13594701244789592</v>
      </c>
      <c r="X74" s="6">
        <f t="shared" si="16"/>
        <v>-0.13977227068428058</v>
      </c>
      <c r="Y74">
        <f t="shared" si="17"/>
        <v>0.73774578730882834</v>
      </c>
      <c r="AA74" s="43">
        <f t="shared" si="23"/>
        <v>63</v>
      </c>
      <c r="AB74" s="6">
        <f t="shared" si="24"/>
        <v>0.97720150823612706</v>
      </c>
      <c r="AC74" s="6">
        <f>VLOOKUP($C74,'hours (1)'!$A$19:$P$103,16)</f>
        <v>0.70823459370491926</v>
      </c>
      <c r="AD74" s="6">
        <f t="shared" si="25"/>
        <v>0.98867905715583415</v>
      </c>
    </row>
    <row r="75" spans="1:30" x14ac:dyDescent="0.25">
      <c r="A75" s="39">
        <f>'hours (1)'!$A75*'hours (1)'!$B75/'hours (1)'!$A$105</f>
        <v>4.7501736735167989E-4</v>
      </c>
      <c r="B75" s="9">
        <f>'hours (2)'!$E75</f>
        <v>62.194425019587612</v>
      </c>
      <c r="C75" s="26">
        <f t="shared" si="18"/>
        <v>64</v>
      </c>
      <c r="D75" s="25">
        <f t="shared" si="1"/>
        <v>0.6211715879784343</v>
      </c>
      <c r="E75" s="25">
        <f t="shared" si="19"/>
        <v>3.2830810816311074E-3</v>
      </c>
      <c r="F75" s="25">
        <f t="shared" si="2"/>
        <v>2.8794094594337583E-3</v>
      </c>
      <c r="G75" s="30">
        <f t="shared" si="3"/>
        <v>8.6531385013143517E-6</v>
      </c>
      <c r="H75" s="9">
        <f>'hours (2)'!$K75</f>
        <v>63.759469070866004</v>
      </c>
      <c r="I75" s="7">
        <f t="shared" si="4"/>
        <v>0</v>
      </c>
      <c r="J75" s="9">
        <f t="shared" si="5"/>
        <v>9.9409366541510655E-2</v>
      </c>
      <c r="K75" s="18">
        <f t="shared" si="20"/>
        <v>2.50055118790306E-3</v>
      </c>
      <c r="L75" s="19">
        <f t="shared" si="6"/>
        <v>9.6048276102027319E-4</v>
      </c>
      <c r="M75" s="19">
        <f t="shared" si="7"/>
        <v>5.4866254508844844E-2</v>
      </c>
      <c r="N75" s="19">
        <f t="shared" si="8"/>
        <v>3.5512488970285881E-2</v>
      </c>
      <c r="O75" s="19">
        <f t="shared" si="9"/>
        <v>-1.6404941252656791E-8</v>
      </c>
      <c r="P75" s="21">
        <f t="shared" si="10"/>
        <v>34.582393717147504</v>
      </c>
      <c r="Q75" s="9">
        <f t="shared" si="21"/>
        <v>0.54238835769963212</v>
      </c>
      <c r="R75" s="9">
        <f t="shared" si="11"/>
        <v>5.8806796985678025</v>
      </c>
      <c r="S75" s="6">
        <f t="shared" si="22"/>
        <v>2.4910807148202711E-2</v>
      </c>
      <c r="T75" s="6">
        <f t="shared" si="12"/>
        <v>2.3290029296874255E-2</v>
      </c>
      <c r="U75" s="6">
        <f t="shared" si="13"/>
        <v>0.53848560914553523</v>
      </c>
      <c r="V75" s="6">
        <f t="shared" si="14"/>
        <v>-3.7653759063278501E-3</v>
      </c>
      <c r="W75" s="6">
        <f t="shared" si="15"/>
        <v>-0.13562508093341458</v>
      </c>
      <c r="X75" s="6">
        <f t="shared" si="16"/>
        <v>-0.13939045683974244</v>
      </c>
      <c r="Y75">
        <f t="shared" si="17"/>
        <v>0.73952957373679706</v>
      </c>
      <c r="AA75" s="43">
        <f t="shared" si="23"/>
        <v>64</v>
      </c>
      <c r="AB75" s="6">
        <f t="shared" si="24"/>
        <v>0.97750473071008126</v>
      </c>
      <c r="AC75" s="6">
        <f>VLOOKUP($C75,'hours (1)'!$A$19:$P$103,16)</f>
        <v>0.37833153561735611</v>
      </c>
      <c r="AD75" s="6">
        <f t="shared" si="25"/>
        <v>0.9889261232412645</v>
      </c>
    </row>
    <row r="76" spans="1:30" x14ac:dyDescent="0.25">
      <c r="A76" s="39">
        <f>'hours (1)'!$A76*'hours (1)'!$B76/'hours (1)'!$A$105</f>
        <v>7.4957717788345229E-3</v>
      </c>
      <c r="B76" s="9">
        <f>'hours (2)'!$E76</f>
        <v>63.194425019587612</v>
      </c>
      <c r="C76" s="26">
        <f t="shared" si="18"/>
        <v>65</v>
      </c>
      <c r="D76" s="25">
        <f t="shared" si="1"/>
        <v>0.61161510200953528</v>
      </c>
      <c r="E76" s="25">
        <f t="shared" si="19"/>
        <v>3.231942221859371E-3</v>
      </c>
      <c r="F76" s="25">
        <f t="shared" si="2"/>
        <v>2.8344809323112116E-3</v>
      </c>
      <c r="G76" s="30">
        <f t="shared" si="3"/>
        <v>8.6774578495847867E-6</v>
      </c>
      <c r="H76" s="9">
        <f>'hours (2)'!$K76</f>
        <v>64.759469070866004</v>
      </c>
      <c r="I76" s="7">
        <f t="shared" si="4"/>
        <v>0</v>
      </c>
      <c r="J76" s="9">
        <f t="shared" si="5"/>
        <v>9.785537927080952E-2</v>
      </c>
      <c r="K76" s="18">
        <f t="shared" si="20"/>
        <v>2.461462067320893E-3</v>
      </c>
      <c r="L76" s="19">
        <f t="shared" si="6"/>
        <v>9.0353646914949348E-4</v>
      </c>
      <c r="M76" s="19">
        <f t="shared" si="7"/>
        <v>5.4974337397158041E-2</v>
      </c>
      <c r="N76" s="19">
        <f t="shared" si="8"/>
        <v>3.5612295599647834E-2</v>
      </c>
      <c r="O76" s="19">
        <f t="shared" si="9"/>
        <v>-1.3601434131760293E-8</v>
      </c>
      <c r="P76" s="21">
        <f t="shared" si="10"/>
        <v>34.595122643843155</v>
      </c>
      <c r="Q76" s="9">
        <f t="shared" si="21"/>
        <v>0.53420948534932955</v>
      </c>
      <c r="R76" s="9">
        <f t="shared" si="11"/>
        <v>5.8817618656184267</v>
      </c>
      <c r="S76" s="6">
        <f t="shared" si="22"/>
        <v>2.4906223886364483E-2</v>
      </c>
      <c r="T76" s="6">
        <f t="shared" si="12"/>
        <v>2.3310473693146608E-2</v>
      </c>
      <c r="U76" s="6">
        <f t="shared" si="13"/>
        <v>0.53779881982800493</v>
      </c>
      <c r="V76" s="6">
        <f t="shared" si="14"/>
        <v>-3.7073395313910727E-3</v>
      </c>
      <c r="W76" s="6">
        <f t="shared" si="15"/>
        <v>-0.13531510968076085</v>
      </c>
      <c r="X76" s="6">
        <f t="shared" si="16"/>
        <v>-0.13902244921215184</v>
      </c>
      <c r="Y76">
        <f t="shared" si="17"/>
        <v>0.74125927800726099</v>
      </c>
      <c r="AA76" s="43">
        <f t="shared" si="23"/>
        <v>65</v>
      </c>
      <c r="AB76" s="6">
        <f t="shared" si="24"/>
        <v>0.98221742740469253</v>
      </c>
      <c r="AC76" s="6">
        <f>VLOOKUP($C76,'hours (1)'!$A$19:$P$103,16)</f>
        <v>0.25995363563680474</v>
      </c>
      <c r="AD76" s="6">
        <f t="shared" si="25"/>
        <v>0.99156454724737197</v>
      </c>
    </row>
    <row r="77" spans="1:30" x14ac:dyDescent="0.25">
      <c r="A77" s="39">
        <f>'hours (1)'!$A77*'hours (1)'!$B77/'hours (1)'!$A$105</f>
        <v>3.5948819798164858E-4</v>
      </c>
      <c r="B77" s="9">
        <f>'hours (2)'!$E77</f>
        <v>64.194425019587612</v>
      </c>
      <c r="C77" s="26">
        <f t="shared" si="18"/>
        <v>66</v>
      </c>
      <c r="D77" s="25">
        <f t="shared" si="1"/>
        <v>0.60234820652454235</v>
      </c>
      <c r="E77" s="25">
        <f t="shared" si="19"/>
        <v>3.1823721755036552E-3</v>
      </c>
      <c r="F77" s="25">
        <f t="shared" si="2"/>
        <v>2.7909330267062256E-3</v>
      </c>
      <c r="G77" s="30">
        <f t="shared" si="3"/>
        <v>8.7010298816695911E-6</v>
      </c>
      <c r="H77" s="9">
        <f>'hours (2)'!$K77</f>
        <v>65.759469070866004</v>
      </c>
      <c r="I77" s="7">
        <f t="shared" si="4"/>
        <v>0</v>
      </c>
      <c r="J77" s="9">
        <f t="shared" si="5"/>
        <v>9.6349231005132388E-2</v>
      </c>
      <c r="K77" s="18">
        <f t="shared" si="20"/>
        <v>2.4235762929122567E-3</v>
      </c>
      <c r="L77" s="19">
        <f t="shared" si="6"/>
        <v>8.4835286852390224E-4</v>
      </c>
      <c r="M77" s="19">
        <f t="shared" si="7"/>
        <v>5.5079101141029631E-2</v>
      </c>
      <c r="N77" s="19">
        <f t="shared" si="8"/>
        <v>3.5709035242644613E-2</v>
      </c>
      <c r="O77" s="19">
        <f t="shared" si="9"/>
        <v>-1.1214393538794276E-8</v>
      </c>
      <c r="P77" s="21">
        <f t="shared" si="10"/>
        <v>34.607403879928945</v>
      </c>
      <c r="Q77" s="9">
        <f t="shared" si="21"/>
        <v>0.52627255616425539</v>
      </c>
      <c r="R77" s="9">
        <f t="shared" si="11"/>
        <v>5.8828057829516132</v>
      </c>
      <c r="S77" s="6">
        <f t="shared" si="22"/>
        <v>2.4901804220004844E-2</v>
      </c>
      <c r="T77" s="6">
        <f t="shared" si="12"/>
        <v>2.3330320496935904E-2</v>
      </c>
      <c r="U77" s="6">
        <f t="shared" si="13"/>
        <v>0.53713605126238373</v>
      </c>
      <c r="V77" s="6">
        <f t="shared" si="14"/>
        <v>-3.6510650509661256E-3</v>
      </c>
      <c r="W77" s="6">
        <f t="shared" si="15"/>
        <v>-0.13501644809651758</v>
      </c>
      <c r="X77" s="6">
        <f t="shared" si="16"/>
        <v>-0.1386675131474836</v>
      </c>
      <c r="Y77">
        <f t="shared" si="17"/>
        <v>0.74293731124352447</v>
      </c>
      <c r="AA77" s="43">
        <f t="shared" si="23"/>
        <v>66</v>
      </c>
      <c r="AB77" s="6">
        <f t="shared" si="24"/>
        <v>0.98244008468488642</v>
      </c>
      <c r="AC77" s="6">
        <f>VLOOKUP($C77,'hours (1)'!$A$19:$P$103,16)</f>
        <v>0.38790189353632404</v>
      </c>
      <c r="AD77" s="6">
        <f t="shared" si="25"/>
        <v>0.99175055798015233</v>
      </c>
    </row>
    <row r="78" spans="1:30" x14ac:dyDescent="0.25">
      <c r="A78" s="39">
        <f>'hours (1)'!$A78*'hours (1)'!$B78/'hours (1)'!$A$105</f>
        <v>9.2452711386241244E-5</v>
      </c>
      <c r="B78" s="9">
        <f>'hours (2)'!$E78</f>
        <v>65.194425019587612</v>
      </c>
      <c r="C78" s="26">
        <f t="shared" si="18"/>
        <v>67</v>
      </c>
      <c r="D78" s="25">
        <f t="shared" si="1"/>
        <v>0.59335793478537013</v>
      </c>
      <c r="E78" s="25">
        <f t="shared" si="19"/>
        <v>3.1342998368787886E-3</v>
      </c>
      <c r="F78" s="25">
        <f t="shared" si="2"/>
        <v>2.7487030634365446E-3</v>
      </c>
      <c r="G78" s="30">
        <f t="shared" si="3"/>
        <v>8.7238885251635513E-6</v>
      </c>
      <c r="H78" s="9">
        <f>'hours (2)'!$K78</f>
        <v>66.759469070866004</v>
      </c>
      <c r="I78" s="7">
        <f t="shared" si="4"/>
        <v>0</v>
      </c>
      <c r="J78" s="9">
        <f t="shared" si="5"/>
        <v>9.4888746066783436E-2</v>
      </c>
      <c r="K78" s="18">
        <f t="shared" si="20"/>
        <v>2.3868391375056982E-3</v>
      </c>
      <c r="L78" s="19">
        <f t="shared" si="6"/>
        <v>7.9485136712065252E-4</v>
      </c>
      <c r="M78" s="19">
        <f t="shared" si="7"/>
        <v>5.5180696330972924E-2</v>
      </c>
      <c r="N78" s="19">
        <f t="shared" si="8"/>
        <v>3.5802847138158789E-2</v>
      </c>
      <c r="O78" s="19">
        <f t="shared" si="9"/>
        <v>-9.1887549652502898E-9</v>
      </c>
      <c r="P78" s="21">
        <f t="shared" si="10"/>
        <v>34.619260607407888</v>
      </c>
      <c r="Q78" s="9">
        <f t="shared" si="21"/>
        <v>0.51856704508328422</v>
      </c>
      <c r="R78" s="9">
        <f t="shared" si="11"/>
        <v>5.8838134409078515</v>
      </c>
      <c r="S78" s="6">
        <f t="shared" si="22"/>
        <v>2.4897539553662348E-2</v>
      </c>
      <c r="T78" s="6">
        <f t="shared" si="12"/>
        <v>2.3349595318623198E-2</v>
      </c>
      <c r="U78" s="6">
        <f t="shared" si="13"/>
        <v>0.53649606783601078</v>
      </c>
      <c r="V78" s="6">
        <f t="shared" si="14"/>
        <v>-3.5964734320410251E-3</v>
      </c>
      <c r="W78" s="6">
        <f t="shared" si="15"/>
        <v>-0.1347284917194447</v>
      </c>
      <c r="X78" s="6">
        <f t="shared" si="16"/>
        <v>-0.13832496515148562</v>
      </c>
      <c r="Y78">
        <f t="shared" si="17"/>
        <v>0.74456594414310318</v>
      </c>
      <c r="AA78" s="43">
        <f t="shared" si="23"/>
        <v>67</v>
      </c>
      <c r="AB78" s="6">
        <f t="shared" si="24"/>
        <v>0.98249650897525442</v>
      </c>
      <c r="AC78" s="6">
        <f>VLOOKUP($C78,'hours (1)'!$A$19:$P$103,16)</f>
        <v>0.49123737802944023</v>
      </c>
      <c r="AD78" s="6">
        <f t="shared" si="25"/>
        <v>0.99181025280946167</v>
      </c>
    </row>
    <row r="79" spans="1:30" x14ac:dyDescent="0.25">
      <c r="A79" s="39">
        <f>'hours (1)'!$A79*'hours (1)'!$B79/'hours (1)'!$A$105</f>
        <v>4.8207614243105362E-4</v>
      </c>
      <c r="B79" s="9">
        <f>'hours (2)'!$E79</f>
        <v>66.194425019587612</v>
      </c>
      <c r="C79" s="26">
        <f t="shared" si="18"/>
        <v>68</v>
      </c>
      <c r="D79" s="25">
        <f t="shared" si="1"/>
        <v>0.58463208280323231</v>
      </c>
      <c r="E79" s="25">
        <f t="shared" si="19"/>
        <v>3.0876583337580538E-3</v>
      </c>
      <c r="F79" s="25">
        <f t="shared" si="2"/>
        <v>2.7077321011017255E-3</v>
      </c>
      <c r="G79" s="30">
        <f t="shared" si="3"/>
        <v>8.7460656844387203E-6</v>
      </c>
      <c r="H79" s="9">
        <f>'hours (2)'!$K79</f>
        <v>67.759469070866004</v>
      </c>
      <c r="I79" s="7">
        <f t="shared" si="4"/>
        <v>0</v>
      </c>
      <c r="J79" s="9">
        <f t="shared" si="5"/>
        <v>9.3471878744471312E-2</v>
      </c>
      <c r="K79" s="18">
        <f t="shared" si="20"/>
        <v>2.3511991431151378E-3</v>
      </c>
      <c r="L79" s="19">
        <f t="shared" si="6"/>
        <v>7.42956211995216E-4</v>
      </c>
      <c r="M79" s="19">
        <f t="shared" si="7"/>
        <v>5.5279264582865306E-2</v>
      </c>
      <c r="N79" s="19">
        <f t="shared" si="8"/>
        <v>3.589386222176482E-2</v>
      </c>
      <c r="O79" s="19">
        <f t="shared" si="9"/>
        <v>-7.4764055918441485E-9</v>
      </c>
      <c r="P79" s="21">
        <f t="shared" si="10"/>
        <v>34.630714436652653</v>
      </c>
      <c r="Q79" s="9">
        <f t="shared" si="21"/>
        <v>0.5110830251700208</v>
      </c>
      <c r="R79" s="9">
        <f t="shared" si="11"/>
        <v>5.8847866942356246</v>
      </c>
      <c r="S79" s="6">
        <f t="shared" si="22"/>
        <v>2.4893421883051159E-2</v>
      </c>
      <c r="T79" s="6">
        <f t="shared" si="12"/>
        <v>2.3368322340514253E-2</v>
      </c>
      <c r="U79" s="6">
        <f t="shared" si="13"/>
        <v>0.5358777170682909</v>
      </c>
      <c r="V79" s="6">
        <f t="shared" si="14"/>
        <v>-3.543490298866774E-3</v>
      </c>
      <c r="W79" s="6">
        <f t="shared" si="15"/>
        <v>-0.13445067821790754</v>
      </c>
      <c r="X79" s="6">
        <f t="shared" si="16"/>
        <v>-0.13799416851677423</v>
      </c>
      <c r="Y79">
        <f t="shared" si="17"/>
        <v>0.74614731698648984</v>
      </c>
      <c r="AA79" s="43">
        <f t="shared" si="23"/>
        <v>68</v>
      </c>
      <c r="AB79" s="6">
        <f t="shared" si="24"/>
        <v>0.98278647601534808</v>
      </c>
      <c r="AC79" s="6">
        <f>VLOOKUP($C79,'hours (1)'!$A$19:$P$103,16)</f>
        <v>0.3532285309144646</v>
      </c>
      <c r="AD79" s="6">
        <f t="shared" si="25"/>
        <v>0.99203084168901789</v>
      </c>
    </row>
    <row r="80" spans="1:30" x14ac:dyDescent="0.25">
      <c r="A80" s="39">
        <f>'hours (1)'!$A80*'hours (1)'!$B80/'hours (1)'!$A$105</f>
        <v>1.0059081358829145E-4</v>
      </c>
      <c r="B80" s="9">
        <f>'hours (2)'!$E80</f>
        <v>67.194425019587612</v>
      </c>
      <c r="C80" s="26">
        <f t="shared" si="18"/>
        <v>69</v>
      </c>
      <c r="D80" s="25">
        <f t="shared" si="1"/>
        <v>0.5761591540669535</v>
      </c>
      <c r="E80" s="25">
        <f t="shared" si="19"/>
        <v>3.0423847169100703E-3</v>
      </c>
      <c r="F80" s="25">
        <f t="shared" si="2"/>
        <v>2.6679646615386161E-3</v>
      </c>
      <c r="G80" s="30">
        <f t="shared" si="3"/>
        <v>8.767591389252518E-6</v>
      </c>
      <c r="H80" s="9">
        <f>'hours (2)'!$K80</f>
        <v>68.759469070866004</v>
      </c>
      <c r="I80" s="7">
        <f t="shared" si="4"/>
        <v>0</v>
      </c>
      <c r="J80" s="9">
        <f t="shared" si="5"/>
        <v>9.2096703731081073E-2</v>
      </c>
      <c r="K80" s="18">
        <f t="shared" si="20"/>
        <v>2.3166078804108168E-3</v>
      </c>
      <c r="L80" s="19">
        <f t="shared" si="6"/>
        <v>6.9259613146521737E-4</v>
      </c>
      <c r="M80" s="19">
        <f t="shared" si="7"/>
        <v>5.5374939196742329E-2</v>
      </c>
      <c r="N80" s="19">
        <f t="shared" si="8"/>
        <v>3.5982203735616877E-2</v>
      </c>
      <c r="O80" s="19">
        <f t="shared" si="9"/>
        <v>-6.0352728509238673E-9</v>
      </c>
      <c r="P80" s="21">
        <f t="shared" si="10"/>
        <v>34.64178553724097</v>
      </c>
      <c r="Q80" s="9">
        <f t="shared" si="21"/>
        <v>0.5038111260216086</v>
      </c>
      <c r="R80" s="9">
        <f t="shared" si="11"/>
        <v>5.8857272734336723</v>
      </c>
      <c r="S80" s="6">
        <f t="shared" si="22"/>
        <v>2.4889443745141657E-2</v>
      </c>
      <c r="T80" s="6">
        <f t="shared" si="12"/>
        <v>2.3386524413754505E-2</v>
      </c>
      <c r="U80" s="6">
        <f t="shared" si="13"/>
        <v>0.53527992274937619</v>
      </c>
      <c r="V80" s="6">
        <f t="shared" si="14"/>
        <v>-3.4920455948823028E-3</v>
      </c>
      <c r="W80" s="6">
        <f t="shared" si="15"/>
        <v>-0.13418248379563683</v>
      </c>
      <c r="X80" s="6">
        <f t="shared" si="16"/>
        <v>-0.13767452939051919</v>
      </c>
      <c r="Y80">
        <f t="shared" si="17"/>
        <v>0.74768344880868876</v>
      </c>
      <c r="AA80" s="43">
        <f t="shared" si="23"/>
        <v>69</v>
      </c>
      <c r="AB80" s="6">
        <f t="shared" si="24"/>
        <v>0.98284612013247696</v>
      </c>
      <c r="AC80" s="6">
        <f>VLOOKUP($C80,'hours (1)'!$A$19:$P$103,16)</f>
        <v>0</v>
      </c>
      <c r="AD80" s="6">
        <f t="shared" si="25"/>
        <v>0.99203084168901789</v>
      </c>
    </row>
    <row r="81" spans="1:30" x14ac:dyDescent="0.25">
      <c r="A81" s="39">
        <f>'hours (1)'!$A81*'hours (1)'!$B81/'hours (1)'!$A$105</f>
        <v>1.2199517824626339E-2</v>
      </c>
      <c r="B81" s="9">
        <f>'hours (2)'!$E81</f>
        <v>68.194425019587612</v>
      </c>
      <c r="C81" s="26">
        <f t="shared" si="18"/>
        <v>70</v>
      </c>
      <c r="D81" s="25">
        <f t="shared" si="1"/>
        <v>0.56792830900885427</v>
      </c>
      <c r="E81" s="25">
        <f t="shared" si="19"/>
        <v>2.9984196765637486E-3</v>
      </c>
      <c r="F81" s="25">
        <f t="shared" si="2"/>
        <v>2.629348479126172E-3</v>
      </c>
      <c r="G81" s="30">
        <f t="shared" si="3"/>
        <v>8.7884939304464766E-6</v>
      </c>
      <c r="H81" s="9">
        <f>'hours (2)'!$K81</f>
        <v>69.759469070866004</v>
      </c>
      <c r="I81" s="7">
        <f t="shared" si="4"/>
        <v>0</v>
      </c>
      <c r="J81" s="9">
        <f t="shared" si="5"/>
        <v>9.0761407393481958E-2</v>
      </c>
      <c r="K81" s="18">
        <f t="shared" si="20"/>
        <v>2.2830197291193403E-3</v>
      </c>
      <c r="L81" s="19">
        <f t="shared" si="6"/>
        <v>6.4370400858204668E-4</v>
      </c>
      <c r="M81" s="19">
        <f t="shared" si="7"/>
        <v>5.5467845758398103E-2</v>
      </c>
      <c r="N81" s="19">
        <f t="shared" si="8"/>
        <v>3.6067987785356588E-2</v>
      </c>
      <c r="O81" s="19">
        <f t="shared" si="9"/>
        <v>-4.8285404147252464E-9</v>
      </c>
      <c r="P81" s="21">
        <f t="shared" si="10"/>
        <v>34.652492755946355</v>
      </c>
      <c r="Q81" s="9">
        <f t="shared" si="21"/>
        <v>0.49674249557066152</v>
      </c>
      <c r="R81" s="9">
        <f t="shared" si="11"/>
        <v>5.8866367949743896</v>
      </c>
      <c r="S81" s="6">
        <f t="shared" si="22"/>
        <v>2.4885598173211346E-2</v>
      </c>
      <c r="T81" s="6">
        <f t="shared" si="12"/>
        <v>2.3404223147585185E-2</v>
      </c>
      <c r="U81" s="6">
        <f t="shared" si="13"/>
        <v>0.5347016787460287</v>
      </c>
      <c r="V81" s="6">
        <f t="shared" si="14"/>
        <v>-3.4420732736692348E-3</v>
      </c>
      <c r="W81" s="6">
        <f t="shared" si="15"/>
        <v>-0.13392341995818502</v>
      </c>
      <c r="X81" s="6">
        <f t="shared" si="16"/>
        <v>-0.1373654932318541</v>
      </c>
      <c r="Y81">
        <f t="shared" si="17"/>
        <v>0.74917624581331888</v>
      </c>
      <c r="AA81" s="43">
        <f t="shared" si="23"/>
        <v>70</v>
      </c>
      <c r="AB81" s="6">
        <f t="shared" si="24"/>
        <v>0.98997818887117384</v>
      </c>
      <c r="AC81" s="6">
        <f>VLOOKUP($C81,'hours (1)'!$A$19:$P$103,16)</f>
        <v>0.19788836524095066</v>
      </c>
      <c r="AD81" s="6">
        <f t="shared" si="25"/>
        <v>0.99507043153693164</v>
      </c>
    </row>
    <row r="82" spans="1:30" x14ac:dyDescent="0.25">
      <c r="A82" s="39">
        <f>'hours (1)'!$A82*'hours (1)'!$B82/'hours (1)'!$A$105</f>
        <v>6.2031621566778031E-5</v>
      </c>
      <c r="B82" s="9">
        <f>'hours (2)'!$E82</f>
        <v>69.194425019587612</v>
      </c>
      <c r="C82" s="26">
        <f t="shared" si="18"/>
        <v>71</v>
      </c>
      <c r="D82" s="25">
        <f t="shared" si="1"/>
        <v>0.55992931874112384</v>
      </c>
      <c r="E82" s="25">
        <f t="shared" si="19"/>
        <v>2.9557072831157519E-3</v>
      </c>
      <c r="F82" s="25">
        <f t="shared" si="2"/>
        <v>2.591834271557578E-3</v>
      </c>
      <c r="G82" s="30">
        <f t="shared" si="3"/>
        <v>8.8087999840249004E-6</v>
      </c>
      <c r="H82" s="9">
        <f>'hours (2)'!$K82</f>
        <v>70.759469070866004</v>
      </c>
      <c r="I82" s="7">
        <f t="shared" si="4"/>
        <v>0</v>
      </c>
      <c r="J82" s="9">
        <f t="shared" si="5"/>
        <v>8.9464279791119497E-2</v>
      </c>
      <c r="K82" s="18">
        <f t="shared" si="20"/>
        <v>2.2503916772587053E-3</v>
      </c>
      <c r="L82" s="19">
        <f t="shared" si="6"/>
        <v>5.9621658274223999E-4</v>
      </c>
      <c r="M82" s="19">
        <f t="shared" si="7"/>
        <v>5.5558102689500052E-2</v>
      </c>
      <c r="N82" s="19">
        <f t="shared" si="8"/>
        <v>3.615132384933202E-2</v>
      </c>
      <c r="O82" s="19">
        <f t="shared" si="9"/>
        <v>-3.8239724997612967E-9</v>
      </c>
      <c r="P82" s="21">
        <f t="shared" si="10"/>
        <v>34.662853723330898</v>
      </c>
      <c r="Q82" s="9">
        <f t="shared" si="21"/>
        <v>0.48986876496509402</v>
      </c>
      <c r="R82" s="9">
        <f t="shared" si="11"/>
        <v>5.8875167705350018</v>
      </c>
      <c r="S82" s="6">
        <f t="shared" si="22"/>
        <v>2.4881878656298338E-2</v>
      </c>
      <c r="T82" s="6">
        <f t="shared" si="12"/>
        <v>2.3421438991622138E-2</v>
      </c>
      <c r="U82" s="6">
        <f t="shared" si="13"/>
        <v>0.53414204340033611</v>
      </c>
      <c r="V82" s="6">
        <f t="shared" si="14"/>
        <v>-3.3935110160657374E-3</v>
      </c>
      <c r="W82" s="6">
        <f t="shared" si="15"/>
        <v>-0.13367303059863658</v>
      </c>
      <c r="X82" s="6">
        <f t="shared" si="16"/>
        <v>-0.13706654161470236</v>
      </c>
      <c r="Y82">
        <f t="shared" si="17"/>
        <v>0.75062750910060261</v>
      </c>
      <c r="AA82" s="43">
        <f t="shared" si="23"/>
        <v>71</v>
      </c>
      <c r="AB82" s="6">
        <f t="shared" si="24"/>
        <v>0.99001395191068831</v>
      </c>
      <c r="AC82" s="6">
        <f>VLOOKUP($C82,'hours (1)'!$A$19:$P$103,16)</f>
        <v>9.2029363495985547E-2</v>
      </c>
      <c r="AD82" s="6">
        <f t="shared" si="25"/>
        <v>0.99507751980355619</v>
      </c>
    </row>
    <row r="83" spans="1:30" x14ac:dyDescent="0.25">
      <c r="A83" s="39">
        <f>'hours (1)'!$A83*'hours (1)'!$B83/'hours (1)'!$A$105</f>
        <v>2.2022461679981971E-3</v>
      </c>
      <c r="B83" s="9">
        <f>'hours (2)'!$E83</f>
        <v>70.194425019587612</v>
      </c>
      <c r="C83" s="26">
        <f t="shared" si="18"/>
        <v>72</v>
      </c>
      <c r="D83" s="25">
        <f t="shared" ref="D83:D103" si="26">$B$15/$C83</f>
        <v>0.55215252264749715</v>
      </c>
      <c r="E83" s="25">
        <f t="shared" si="19"/>
        <v>2.9141947496957935E-3</v>
      </c>
      <c r="F83" s="25">
        <f t="shared" ref="F83:F103" si="27">(((1-$B$16)*$B$4*$B$9+$B$11)/$C83+($B83/$C83-1+LN($C83/$B83))/$B$5)*$B$8</f>
        <v>2.5553755299648163E-3</v>
      </c>
      <c r="G83" s="30">
        <f t="shared" ref="G83:G103" si="28">((1-$B$16)*$B$8-$F83)*$F$5/($F$14*$B$15^(1/$B$6))</f>
        <v>8.8285347247582813E-6</v>
      </c>
      <c r="H83" s="9">
        <f>'hours (2)'!$K83</f>
        <v>71.759469070866004</v>
      </c>
      <c r="I83" s="7">
        <f t="shared" ref="I83:I103" si="29">IF($H83&gt;$B$14,1,0)*$B$13</f>
        <v>0</v>
      </c>
      <c r="J83" s="9">
        <f t="shared" ref="J83:J103" si="30">(1-$B$16-$B$12)*($B$4*$B$9+$I83)/$H83+$B$11/$H83+($B83/$H83-1+LN($H83/$B83))/$B$5</f>
        <v>8.8203707369506903E-2</v>
      </c>
      <c r="K83" s="18">
        <f t="shared" si="20"/>
        <v>2.2186831373497925E-3</v>
      </c>
      <c r="L83" s="19">
        <f t="shared" ref="L83:L103" si="31">$G83*($L$17^(($B$7+$B$6)/$B$6))+($K83*$L$17)-(1-$B$16-$B$12)*$B$8*(($F$4/$B$8)^(1/$B$7))</f>
        <v>5.5007417664972025E-4</v>
      </c>
      <c r="M83" s="19">
        <f t="shared" si="7"/>
        <v>5.5645821751287669E-2</v>
      </c>
      <c r="N83" s="19">
        <f t="shared" si="8"/>
        <v>3.6232315244826174E-2</v>
      </c>
      <c r="O83" s="19">
        <f t="shared" ref="O83:O103" si="32">$G83*(P83^(1/$B$7+1/$B$6))+($K83*P83^(1/$B$7))-(1-$B$16-$B$12)*$B$8*(($F$4/$B$8)^(1/$B$7))</f>
        <v>-2.9933303336004968E-9</v>
      </c>
      <c r="P83" s="21">
        <f t="shared" ref="P83:P103" si="33">($L$17-(M83/N83)*(1-SQRT(1-2*L83*N83/(M83^2))))^$B$7</f>
        <v>34.672884950203255</v>
      </c>
      <c r="Q83" s="9">
        <f t="shared" si="21"/>
        <v>0.48318201624320933</v>
      </c>
      <c r="R83" s="9">
        <f t="shared" ref="R83:R103" si="34">$P83^(($B$7-1)/$B$7)</f>
        <v>5.888368615346975</v>
      </c>
      <c r="S83" s="6">
        <f t="shared" si="22"/>
        <v>2.4878279102562812E-2</v>
      </c>
      <c r="T83" s="6">
        <f t="shared" ref="T83:T103" si="35">S83-($B$4*$B$9*$B$8/$H83)</f>
        <v>2.3438191311772886E-2</v>
      </c>
      <c r="U83" s="6">
        <f t="shared" ref="U83:U103" si="36">$B$6*T83/(T83-$B$8*$B$11/$H83-($B83/$H83-1+LN($H83/$B83))*$B$8/$B$5)</f>
        <v>0.53360013445622978</v>
      </c>
      <c r="V83" s="6">
        <f t="shared" ref="V83:V103" si="37">LN(H83/C83)</f>
        <v>-3.346299970895002E-3</v>
      </c>
      <c r="W83" s="6">
        <f t="shared" ref="W83:W103" si="38">LN(Q83/D83)</f>
        <v>-0.13343088936648964</v>
      </c>
      <c r="X83" s="6">
        <f t="shared" ref="X83:X103" si="39">LN(P83/$B$15)</f>
        <v>-0.1367771893373847</v>
      </c>
      <c r="Y83">
        <f t="shared" ref="Y83:Y103" si="40">$G$4-($B$4*$B$9+$B$11+($B83-$H83+$H83*LN($H83/$B83))/$B$5)*$B$8*$Q83</f>
        <v>0.75203894177308972</v>
      </c>
      <c r="AA83" s="43">
        <f t="shared" si="23"/>
        <v>72</v>
      </c>
      <c r="AB83" s="6">
        <f t="shared" si="24"/>
        <v>0.99126628012236873</v>
      </c>
      <c r="AC83" s="6">
        <f>VLOOKUP($C83,'hours (1)'!$A$19:$P$103,16)</f>
        <v>0.14716606785038841</v>
      </c>
      <c r="AD83" s="6">
        <f t="shared" si="25"/>
        <v>0.99547444169711918</v>
      </c>
    </row>
    <row r="84" spans="1:30" x14ac:dyDescent="0.25">
      <c r="A84" s="39">
        <f>'hours (1)'!$A84*'hours (1)'!$B84/'hours (1)'!$A$105</f>
        <v>4.7034308094518462E-5</v>
      </c>
      <c r="B84" s="9">
        <f>'hours (2)'!$E84</f>
        <v>71.194425019587612</v>
      </c>
      <c r="C84" s="26">
        <f t="shared" ref="C84:C103" si="41">$B$5*($B$4*$B$9*(1-$B$16)+$B$11)+$B84</f>
        <v>73</v>
      </c>
      <c r="D84" s="25">
        <f t="shared" si="26"/>
        <v>0.54458878946054512</v>
      </c>
      <c r="E84" s="25">
        <f t="shared" ref="E84:E103" si="42">(($B$4*$B$9+$B$11)/$C84+($B84/$C84-1+LN($C84/$B84))/$B$5)*$B$8</f>
        <v>2.873832214469733E-3</v>
      </c>
      <c r="F84" s="25">
        <f t="shared" si="27"/>
        <v>2.5199283265158927E-3</v>
      </c>
      <c r="G84" s="30">
        <f t="shared" si="28"/>
        <v>8.8477219303289433E-6</v>
      </c>
      <c r="H84" s="9">
        <f>'hours (2)'!$K84</f>
        <v>72.759469070866004</v>
      </c>
      <c r="I84" s="7">
        <f t="shared" si="29"/>
        <v>0</v>
      </c>
      <c r="J84" s="9">
        <f t="shared" si="30"/>
        <v>8.6978166262961745E-2</v>
      </c>
      <c r="K84" s="18">
        <f t="shared" ref="K84:K103" si="43">J84*$B$8</f>
        <v>2.1878557779528704E-3</v>
      </c>
      <c r="L84" s="19">
        <f t="shared" si="31"/>
        <v>5.052204461513804E-4</v>
      </c>
      <c r="M84" s="19">
        <f t="shared" ref="M84:M103" si="44">$G84*($B$7+$B$6)*($L$17^($B$7/$B$6))/$B$6+$K84</f>
        <v>5.5731108506361315E-2</v>
      </c>
      <c r="N84" s="19">
        <f t="shared" ref="N84:N103" si="45">$G84*($B$7+$B$6)*$B$7*($L$17^($B$7/$B$6-1))/($B$6^2)</f>
        <v>3.6311059555470836E-2</v>
      </c>
      <c r="O84" s="19">
        <f t="shared" si="32"/>
        <v>-2.3118672531907691E-9</v>
      </c>
      <c r="P84" s="21">
        <f t="shared" si="33"/>
        <v>34.682601915047535</v>
      </c>
      <c r="Q84" s="9">
        <f t="shared" ref="Q84:Q103" si="46">$P84/$H84</f>
        <v>0.47667475255031755</v>
      </c>
      <c r="R84" s="9">
        <f t="shared" si="34"/>
        <v>5.8891936557603142</v>
      </c>
      <c r="S84" s="6">
        <f t="shared" ref="S84:S103" si="47">$B$8*($G$4/($B$8*$P84))^(1/$B$7)</f>
        <v>2.4874793806124333E-2</v>
      </c>
      <c r="T84" s="6">
        <f t="shared" si="35"/>
        <v>2.3454498460347816E-2</v>
      </c>
      <c r="U84" s="6">
        <f t="shared" si="36"/>
        <v>0.53307512445678928</v>
      </c>
      <c r="V84" s="6">
        <f t="shared" si="37"/>
        <v>-3.3003845170389225E-3</v>
      </c>
      <c r="W84" s="6">
        <f t="shared" si="38"/>
        <v>-0.13319659728819372</v>
      </c>
      <c r="X84" s="6">
        <f t="shared" si="39"/>
        <v>-0.13649698180523262</v>
      </c>
      <c r="Y84">
        <f t="shared" si="40"/>
        <v>0.75341215547631923</v>
      </c>
      <c r="AA84" s="43">
        <f t="shared" ref="AA84:AA103" si="48">ROUND($H84,0)</f>
        <v>73</v>
      </c>
      <c r="AB84" s="6">
        <f t="shared" si="24"/>
        <v>0.99129266641951952</v>
      </c>
      <c r="AC84" s="6">
        <f>VLOOKUP($C84,'hours (1)'!$A$19:$P$103,16)</f>
        <v>0.79661529955454524</v>
      </c>
      <c r="AD84" s="6">
        <f t="shared" si="25"/>
        <v>0.99551971125951133</v>
      </c>
    </row>
    <row r="85" spans="1:30" x14ac:dyDescent="0.25">
      <c r="A85" s="39">
        <f>'hours (1)'!$A85*'hours (1)'!$B85/'hours (1)'!$A$105</f>
        <v>1.7375672303408316E-4</v>
      </c>
      <c r="B85" s="9">
        <f>'hours (2)'!$E85</f>
        <v>72.194425019587612</v>
      </c>
      <c r="C85" s="26">
        <f t="shared" si="41"/>
        <v>74</v>
      </c>
      <c r="D85" s="25">
        <f t="shared" si="26"/>
        <v>0.53722948149486205</v>
      </c>
      <c r="E85" s="25">
        <f t="shared" si="42"/>
        <v>2.8345725407922817E-3</v>
      </c>
      <c r="F85" s="25">
        <f t="shared" si="27"/>
        <v>2.4854511378107906E-3</v>
      </c>
      <c r="G85" s="30">
        <f t="shared" si="28"/>
        <v>8.8663840769249792E-6</v>
      </c>
      <c r="H85" s="9">
        <f>'hours (2)'!$K85</f>
        <v>73.759469070866004</v>
      </c>
      <c r="I85" s="7">
        <f t="shared" si="29"/>
        <v>0</v>
      </c>
      <c r="J85" s="9">
        <f t="shared" si="30"/>
        <v>8.5786216148133976E-2</v>
      </c>
      <c r="K85" s="18">
        <f t="shared" si="43"/>
        <v>2.157873369058743E-3</v>
      </c>
      <c r="L85" s="19">
        <f t="shared" si="31"/>
        <v>4.6160215074217414E-4</v>
      </c>
      <c r="M85" s="19">
        <f t="shared" si="44"/>
        <v>5.5814062742573639E-2</v>
      </c>
      <c r="N85" s="19">
        <f t="shared" si="45"/>
        <v>3.6387649023564166E-2</v>
      </c>
      <c r="O85" s="19">
        <f t="shared" si="32"/>
        <v>-1.757891887610441E-9</v>
      </c>
      <c r="P85" s="21">
        <f t="shared" si="33"/>
        <v>34.692019143393104</v>
      </c>
      <c r="Q85" s="9">
        <f t="shared" si="46"/>
        <v>0.4703398706688357</v>
      </c>
      <c r="R85" s="9">
        <f t="shared" si="34"/>
        <v>5.8899931361074698</v>
      </c>
      <c r="S85" s="6">
        <f t="shared" si="47"/>
        <v>2.4871417416996541E-2</v>
      </c>
      <c r="T85" s="6">
        <f t="shared" si="35"/>
        <v>2.3470377840867876E-2</v>
      </c>
      <c r="U85" s="6">
        <f t="shared" si="36"/>
        <v>0.5325662365622309</v>
      </c>
      <c r="V85" s="6">
        <f t="shared" si="37"/>
        <v>-3.2557120448340406E-3</v>
      </c>
      <c r="W85" s="6">
        <f t="shared" si="38"/>
        <v>-0.13296978061178086</v>
      </c>
      <c r="X85" s="6">
        <f t="shared" si="39"/>
        <v>-0.13622549265661507</v>
      </c>
      <c r="Y85">
        <f t="shared" si="40"/>
        <v>0.75474867642575427</v>
      </c>
      <c r="AA85" s="43">
        <f t="shared" si="48"/>
        <v>74</v>
      </c>
      <c r="AB85" s="6">
        <f t="shared" ref="AB85:AB103" si="49">$Q85*$A85/$Q$16+AB84</f>
        <v>0.99138884867394694</v>
      </c>
      <c r="AC85" s="6">
        <f>VLOOKUP($C85,'hours (1)'!$A$19:$P$103,16)</f>
        <v>0.36023021330378235</v>
      </c>
      <c r="AD85" s="6">
        <f t="shared" ref="AD85:AD103" si="50">$Q85*$A85*AC85/$Q$17+AD84</f>
        <v>0.9955943310957942</v>
      </c>
    </row>
    <row r="86" spans="1:30" x14ac:dyDescent="0.25">
      <c r="A86" s="39">
        <f>'hours (1)'!$A86*'hours (1)'!$B86/'hours (1)'!$A$105</f>
        <v>1.7556794325002622E-3</v>
      </c>
      <c r="B86" s="9">
        <f>'hours (2)'!$E86</f>
        <v>73.194425019587612</v>
      </c>
      <c r="C86" s="26">
        <f t="shared" si="41"/>
        <v>75</v>
      </c>
      <c r="D86" s="25">
        <f t="shared" si="26"/>
        <v>0.53006642174159724</v>
      </c>
      <c r="E86" s="25">
        <f t="shared" si="42"/>
        <v>2.796371133524917E-3</v>
      </c>
      <c r="F86" s="25">
        <f t="shared" si="27"/>
        <v>2.4519046825831792E-3</v>
      </c>
      <c r="G86" s="30">
        <f t="shared" si="28"/>
        <v>8.8845424270906436E-6</v>
      </c>
      <c r="H86" s="9">
        <f>'hours (2)'!$K86</f>
        <v>74.759469070866004</v>
      </c>
      <c r="I86" s="7">
        <f t="shared" si="29"/>
        <v>0</v>
      </c>
      <c r="J86" s="9">
        <f t="shared" si="30"/>
        <v>8.4626494596186236E-2</v>
      </c>
      <c r="K86" s="18">
        <f t="shared" si="43"/>
        <v>2.1287016400230413E-3</v>
      </c>
      <c r="L86" s="19">
        <f t="shared" si="31"/>
        <v>4.1916894277273242E-4</v>
      </c>
      <c r="M86" s="19">
        <f t="shared" si="44"/>
        <v>5.5894778862603162E-2</v>
      </c>
      <c r="N86" s="19">
        <f t="shared" si="45"/>
        <v>3.6462170910608827E-2</v>
      </c>
      <c r="O86" s="19">
        <f t="shared" si="32"/>
        <v>-1.3123875458598278E-9</v>
      </c>
      <c r="P86" s="21">
        <f t="shared" si="33"/>
        <v>34.701150279978535</v>
      </c>
      <c r="Q86" s="9">
        <f t="shared" si="46"/>
        <v>0.46417063565666333</v>
      </c>
      <c r="R86" s="9">
        <f t="shared" si="34"/>
        <v>5.8907682249413389</v>
      </c>
      <c r="S86" s="6">
        <f t="shared" si="47"/>
        <v>2.4868144913787058E-2</v>
      </c>
      <c r="T86" s="6">
        <f t="shared" si="35"/>
        <v>2.3485845968023233E-2</v>
      </c>
      <c r="U86" s="6">
        <f t="shared" si="36"/>
        <v>0.53207274074446864</v>
      </c>
      <c r="V86" s="6">
        <f t="shared" si="37"/>
        <v>-3.2122327549847052E-3</v>
      </c>
      <c r="W86" s="6">
        <f t="shared" si="38"/>
        <v>-0.1327500888513955</v>
      </c>
      <c r="X86" s="6">
        <f t="shared" si="39"/>
        <v>-0.13596232160638028</v>
      </c>
      <c r="Y86">
        <f t="shared" si="40"/>
        <v>0.75604995096611372</v>
      </c>
      <c r="AA86" s="43">
        <f t="shared" si="48"/>
        <v>75</v>
      </c>
      <c r="AB86" s="6">
        <f t="shared" si="49"/>
        <v>0.99234794985030994</v>
      </c>
      <c r="AC86" s="6">
        <f>VLOOKUP($C86,'hours (1)'!$A$19:$P$103,16)</f>
        <v>0.31945577165479933</v>
      </c>
      <c r="AD86" s="6">
        <f t="shared" si="50"/>
        <v>0.99625419499186962</v>
      </c>
    </row>
    <row r="87" spans="1:30" x14ac:dyDescent="0.25">
      <c r="A87" s="39">
        <f>'hours (1)'!$A87*'hours (1)'!$B87/'hours (1)'!$A$105</f>
        <v>1.5110147583296491E-4</v>
      </c>
      <c r="B87" s="9">
        <f>'hours (2)'!$E87</f>
        <v>74.194425019587612</v>
      </c>
      <c r="C87" s="26">
        <f t="shared" si="41"/>
        <v>76</v>
      </c>
      <c r="D87" s="25">
        <f t="shared" si="26"/>
        <v>0.52309186356078674</v>
      </c>
      <c r="E87" s="25">
        <f t="shared" si="42"/>
        <v>2.7591857700135954E-3</v>
      </c>
      <c r="F87" s="25">
        <f t="shared" si="27"/>
        <v>2.4192517723737221E-3</v>
      </c>
      <c r="G87" s="30">
        <f t="shared" si="28"/>
        <v>8.9022171105553645E-6</v>
      </c>
      <c r="H87" s="9">
        <f>'hours (2)'!$K87</f>
        <v>75.759469070866004</v>
      </c>
      <c r="I87" s="7">
        <f t="shared" si="29"/>
        <v>0</v>
      </c>
      <c r="J87" s="9">
        <f t="shared" si="30"/>
        <v>8.3497711877056374E-2</v>
      </c>
      <c r="K87" s="18">
        <f t="shared" si="43"/>
        <v>2.1003081488722253E-3</v>
      </c>
      <c r="L87" s="19">
        <f t="shared" si="31"/>
        <v>3.7787317360622741E-4</v>
      </c>
      <c r="M87" s="19">
        <f t="shared" si="44"/>
        <v>5.5973346242408545E-2</v>
      </c>
      <c r="N87" s="19">
        <f t="shared" si="45"/>
        <v>3.6534707829034306E-2</v>
      </c>
      <c r="O87" s="19">
        <f t="shared" si="32"/>
        <v>-9.5868338267912634E-10</v>
      </c>
      <c r="P87" s="21">
        <f t="shared" si="33"/>
        <v>34.710008154460802</v>
      </c>
      <c r="Q87" s="9">
        <f t="shared" si="46"/>
        <v>0.45816065740894762</v>
      </c>
      <c r="R87" s="9">
        <f t="shared" si="34"/>
        <v>5.891520020712889</v>
      </c>
      <c r="S87" s="6">
        <f t="shared" si="47"/>
        <v>2.4864971578870645E-2</v>
      </c>
      <c r="T87" s="6">
        <f t="shared" si="35"/>
        <v>2.3500918523194445E-2</v>
      </c>
      <c r="U87" s="6">
        <f t="shared" si="36"/>
        <v>0.53159395031933554</v>
      </c>
      <c r="V87" s="6">
        <f t="shared" si="37"/>
        <v>-3.1698994733762153E-3</v>
      </c>
      <c r="W87" s="6">
        <f t="shared" si="38"/>
        <v>-0.13253719301047845</v>
      </c>
      <c r="X87" s="6">
        <f t="shared" si="39"/>
        <v>-0.13570709248385474</v>
      </c>
      <c r="Y87">
        <f t="shared" si="40"/>
        <v>0.75731735070459205</v>
      </c>
      <c r="AA87" s="43">
        <f t="shared" si="48"/>
        <v>76</v>
      </c>
      <c r="AB87" s="6">
        <f t="shared" si="49"/>
        <v>0.99242942553878588</v>
      </c>
      <c r="AC87" s="6">
        <f>VLOOKUP($C87,'hours (1)'!$A$19:$P$103,16)</f>
        <v>9.7084790473669302E-2</v>
      </c>
      <c r="AD87" s="6">
        <f t="shared" si="50"/>
        <v>0.99627123063135947</v>
      </c>
    </row>
    <row r="88" spans="1:30" x14ac:dyDescent="0.25">
      <c r="A88" s="39">
        <f>'hours (1)'!$A88*'hours (1)'!$B88/'hours (1)'!$A$105</f>
        <v>2.3364851589299888E-4</v>
      </c>
      <c r="B88" s="9">
        <f>'hours (2)'!$E88</f>
        <v>75.194425019587612</v>
      </c>
      <c r="C88" s="26">
        <f t="shared" si="41"/>
        <v>77</v>
      </c>
      <c r="D88" s="25">
        <f t="shared" si="26"/>
        <v>0.51629846273532198</v>
      </c>
      <c r="E88" s="25">
        <f t="shared" si="42"/>
        <v>2.7229764443788577E-3</v>
      </c>
      <c r="F88" s="25">
        <f t="shared" si="27"/>
        <v>2.3874571739810608E-3</v>
      </c>
      <c r="G88" s="30">
        <f t="shared" si="28"/>
        <v>8.9194271986875801E-6</v>
      </c>
      <c r="H88" s="9">
        <f>'hours (2)'!$K88</f>
        <v>76.759469070866004</v>
      </c>
      <c r="I88" s="7">
        <f t="shared" si="29"/>
        <v>0</v>
      </c>
      <c r="J88" s="9">
        <f t="shared" si="30"/>
        <v>8.2398646174144011E-2</v>
      </c>
      <c r="K88" s="18">
        <f t="shared" si="43"/>
        <v>2.0726621619334249E-3</v>
      </c>
      <c r="L88" s="19">
        <f t="shared" si="31"/>
        <v>3.3766971515659938E-4</v>
      </c>
      <c r="M88" s="19">
        <f t="shared" si="44"/>
        <v>5.6049849561426418E-2</v>
      </c>
      <c r="N88" s="19">
        <f t="shared" si="45"/>
        <v>3.6605338047755537E-2</v>
      </c>
      <c r="O88" s="19">
        <f t="shared" si="32"/>
        <v>-6.8216594872883007E-10</v>
      </c>
      <c r="P88" s="21">
        <f t="shared" si="33"/>
        <v>34.718604841332741</v>
      </c>
      <c r="Q88" s="9">
        <f t="shared" si="46"/>
        <v>0.45230386897647473</v>
      </c>
      <c r="R88" s="9">
        <f t="shared" si="34"/>
        <v>5.8922495569462043</v>
      </c>
      <c r="S88" s="6">
        <f t="shared" si="47"/>
        <v>2.4861892975778257E-2</v>
      </c>
      <c r="T88" s="6">
        <f t="shared" si="35"/>
        <v>2.3515610405909049E-2</v>
      </c>
      <c r="U88" s="6">
        <f t="shared" si="36"/>
        <v>0.53112921878208175</v>
      </c>
      <c r="V88" s="6">
        <f t="shared" si="37"/>
        <v>-3.1286674803409666E-3</v>
      </c>
      <c r="W88" s="6">
        <f t="shared" si="38"/>
        <v>-0.13233078396490064</v>
      </c>
      <c r="X88" s="6">
        <f t="shared" si="39"/>
        <v>-0.13545945144524169</v>
      </c>
      <c r="Y88">
        <f t="shared" si="40"/>
        <v>0.75855217725534063</v>
      </c>
      <c r="AA88" s="43">
        <f t="shared" si="48"/>
        <v>77</v>
      </c>
      <c r="AB88" s="6">
        <f t="shared" si="49"/>
        <v>0.99255380104718638</v>
      </c>
      <c r="AC88" s="6">
        <f>VLOOKUP($C88,'hours (1)'!$A$19:$P$103,16)</f>
        <v>0.16786469164474194</v>
      </c>
      <c r="AD88" s="6">
        <f t="shared" si="50"/>
        <v>0.99631619551048578</v>
      </c>
    </row>
    <row r="89" spans="1:30" x14ac:dyDescent="0.25">
      <c r="A89" s="39">
        <f>'hours (1)'!$A89*'hours (1)'!$B89/'hours (1)'!$A$105</f>
        <v>1.7934446906268614E-4</v>
      </c>
      <c r="B89" s="9">
        <f>'hours (2)'!$E89</f>
        <v>76.194425019587612</v>
      </c>
      <c r="C89" s="26">
        <f t="shared" si="41"/>
        <v>78</v>
      </c>
      <c r="D89" s="25">
        <f t="shared" si="26"/>
        <v>0.50967925167461281</v>
      </c>
      <c r="E89" s="25">
        <f t="shared" si="42"/>
        <v>2.6877052239114487E-3</v>
      </c>
      <c r="F89" s="25">
        <f t="shared" si="27"/>
        <v>2.3564874826213162E-3</v>
      </c>
      <c r="G89" s="30">
        <f t="shared" si="28"/>
        <v>8.9361907731522249E-6</v>
      </c>
      <c r="H89" s="9">
        <f>'hours (2)'!$K89</f>
        <v>77.759469070866004</v>
      </c>
      <c r="I89" s="7">
        <f t="shared" si="29"/>
        <v>0</v>
      </c>
      <c r="J89" s="9">
        <f t="shared" si="30"/>
        <v>8.1328139172080732E-2</v>
      </c>
      <c r="K89" s="18">
        <f t="shared" si="43"/>
        <v>2.0457345428488579E-3</v>
      </c>
      <c r="L89" s="19">
        <f t="shared" si="31"/>
        <v>2.9851579540018935E-4</v>
      </c>
      <c r="M89" s="19">
        <f t="shared" si="44"/>
        <v>5.6124369107076445E-2</v>
      </c>
      <c r="N89" s="19">
        <f t="shared" si="45"/>
        <v>3.6674135773943302E-2</v>
      </c>
      <c r="O89" s="19">
        <f t="shared" si="32"/>
        <v>-4.7002983449839775E-10</v>
      </c>
      <c r="P89" s="21">
        <f t="shared" si="33"/>
        <v>34.726951714635767</v>
      </c>
      <c r="Q89" s="9">
        <f t="shared" si="46"/>
        <v>0.44659450649010218</v>
      </c>
      <c r="R89" s="9">
        <f t="shared" si="34"/>
        <v>5.8929578069621176</v>
      </c>
      <c r="S89" s="6">
        <f t="shared" si="47"/>
        <v>2.4858904928574711E-2</v>
      </c>
      <c r="T89" s="6">
        <f t="shared" si="35"/>
        <v>2.3529935781571629E-2</v>
      </c>
      <c r="U89" s="6">
        <f t="shared" si="36"/>
        <v>0.53067793691568965</v>
      </c>
      <c r="V89" s="6">
        <f t="shared" si="37"/>
        <v>-3.0884943530786594E-3</v>
      </c>
      <c r="W89" s="6">
        <f t="shared" si="38"/>
        <v>-0.13213057098951897</v>
      </c>
      <c r="X89" s="6">
        <f t="shared" si="39"/>
        <v>-0.13521906534259756</v>
      </c>
      <c r="Y89">
        <f t="shared" si="40"/>
        <v>0.7597556666289087</v>
      </c>
      <c r="AA89" s="43">
        <f t="shared" si="48"/>
        <v>78</v>
      </c>
      <c r="AB89" s="6">
        <f t="shared" si="49"/>
        <v>0.99264806440452147</v>
      </c>
      <c r="AC89" s="6">
        <f>VLOOKUP($C89,'hours (1)'!$A$19:$P$103,16)</f>
        <v>4.9492361336892138E-2</v>
      </c>
      <c r="AD89" s="6">
        <f t="shared" si="50"/>
        <v>0.99632624306296036</v>
      </c>
    </row>
    <row r="90" spans="1:30" x14ac:dyDescent="0.25">
      <c r="A90" s="39">
        <f>'hours (1)'!$A90*'hours (1)'!$B90/'hours (1)'!$A$105</f>
        <v>7.8487843095564717E-3</v>
      </c>
      <c r="B90" s="9">
        <f>'hours (2)'!$E90</f>
        <v>78.194425019587612</v>
      </c>
      <c r="C90" s="26">
        <f t="shared" si="41"/>
        <v>80</v>
      </c>
      <c r="D90" s="25">
        <f t="shared" si="26"/>
        <v>0.49693727038274743</v>
      </c>
      <c r="E90" s="25">
        <f t="shared" si="42"/>
        <v>2.6198349480388724E-3</v>
      </c>
      <c r="F90" s="25">
        <f t="shared" si="27"/>
        <v>2.2968976502809931E-3</v>
      </c>
      <c r="G90" s="30">
        <f t="shared" si="28"/>
        <v>8.9684461346980926E-6</v>
      </c>
      <c r="H90" s="9">
        <f>'hours (2)'!$K90</f>
        <v>79.759469070866004</v>
      </c>
      <c r="I90" s="7">
        <f t="shared" si="29"/>
        <v>0</v>
      </c>
      <c r="J90" s="9">
        <f t="shared" si="30"/>
        <v>7.9268461388812925E-2</v>
      </c>
      <c r="K90" s="18">
        <f t="shared" si="43"/>
        <v>1.9939252425099688E-3</v>
      </c>
      <c r="L90" s="19">
        <f t="shared" si="31"/>
        <v>2.2319636513189189E-4</v>
      </c>
      <c r="M90" s="19">
        <f t="shared" si="44"/>
        <v>5.6267757733242961E-2</v>
      </c>
      <c r="N90" s="19">
        <f t="shared" si="45"/>
        <v>3.680651180963905E-2</v>
      </c>
      <c r="O90" s="19">
        <f t="shared" si="32"/>
        <v>-1.9543332230309574E-10</v>
      </c>
      <c r="P90" s="21">
        <f t="shared" si="33"/>
        <v>34.742938310382073</v>
      </c>
      <c r="Q90" s="9">
        <f t="shared" si="46"/>
        <v>0.43559640899205454</v>
      </c>
      <c r="R90" s="9">
        <f t="shared" si="34"/>
        <v>5.894314066147313</v>
      </c>
      <c r="S90" s="6">
        <f t="shared" si="47"/>
        <v>2.485318498936466E-2</v>
      </c>
      <c r="T90" s="6">
        <f t="shared" si="35"/>
        <v>2.355754026546731E-2</v>
      </c>
      <c r="U90" s="6">
        <f t="shared" si="36"/>
        <v>0.52981345611266883</v>
      </c>
      <c r="V90" s="6">
        <f t="shared" si="37"/>
        <v>-3.011165626380651E-3</v>
      </c>
      <c r="W90" s="6">
        <f t="shared" si="38"/>
        <v>-0.13174765439201264</v>
      </c>
      <c r="X90" s="6">
        <f t="shared" si="39"/>
        <v>-0.13475882001839321</v>
      </c>
      <c r="Y90">
        <f t="shared" si="40"/>
        <v>0.76207327396057201</v>
      </c>
      <c r="AA90" s="43">
        <f t="shared" si="48"/>
        <v>80</v>
      </c>
      <c r="AB90" s="6">
        <f t="shared" si="49"/>
        <v>0.99667178878829554</v>
      </c>
      <c r="AC90" s="6">
        <f>VLOOKUP($C90,'hours (1)'!$A$19:$P$103,16)</f>
        <v>0.253388979833571</v>
      </c>
      <c r="AD90" s="6">
        <f t="shared" si="50"/>
        <v>0.99852205505278646</v>
      </c>
    </row>
    <row r="91" spans="1:30" x14ac:dyDescent="0.25">
      <c r="A91" s="39">
        <f>'hours (1)'!$A91*'hours (1)'!$B91/'hours (1)'!$A$105</f>
        <v>9.4027535741569827E-5</v>
      </c>
      <c r="B91" s="9">
        <f>'hours (2)'!$E91</f>
        <v>80.194425019587612</v>
      </c>
      <c r="C91" s="26">
        <f t="shared" si="41"/>
        <v>82</v>
      </c>
      <c r="D91" s="25">
        <f t="shared" si="26"/>
        <v>0.48481684915389994</v>
      </c>
      <c r="E91" s="25">
        <f t="shared" si="42"/>
        <v>2.5553081501955076E-3</v>
      </c>
      <c r="F91" s="25">
        <f t="shared" si="27"/>
        <v>2.2402473718951374E-3</v>
      </c>
      <c r="G91" s="30">
        <f t="shared" si="28"/>
        <v>8.9991103460114299E-6</v>
      </c>
      <c r="H91" s="9">
        <f>'hours (2)'!$K91</f>
        <v>81.759469070866004</v>
      </c>
      <c r="I91" s="7">
        <f t="shared" si="29"/>
        <v>0</v>
      </c>
      <c r="J91" s="9">
        <f t="shared" si="30"/>
        <v>7.7310534791406829E-2</v>
      </c>
      <c r="K91" s="18">
        <f t="shared" si="43"/>
        <v>1.9446753996701955E-3</v>
      </c>
      <c r="L91" s="19">
        <f t="shared" si="31"/>
        <v>1.5161434202291824E-4</v>
      </c>
      <c r="M91" s="19">
        <f t="shared" si="44"/>
        <v>5.6404076744057952E-2</v>
      </c>
      <c r="N91" s="19">
        <f t="shared" si="45"/>
        <v>3.6932357763206296E-2</v>
      </c>
      <c r="O91" s="19">
        <f t="shared" si="32"/>
        <v>-6.095228488600668E-11</v>
      </c>
      <c r="P91" s="21">
        <f t="shared" si="33"/>
        <v>34.758046723665096</v>
      </c>
      <c r="Q91" s="9">
        <f t="shared" si="46"/>
        <v>0.4251256413313807</v>
      </c>
      <c r="R91" s="9">
        <f t="shared" si="34"/>
        <v>5.8955955359628511</v>
      </c>
      <c r="S91" s="6">
        <f t="shared" si="47"/>
        <v>2.4847782887712746E-2</v>
      </c>
      <c r="T91" s="6">
        <f t="shared" si="35"/>
        <v>2.3583832222953044E-2</v>
      </c>
      <c r="U91" s="6">
        <f t="shared" si="36"/>
        <v>0.5289962847623082</v>
      </c>
      <c r="V91" s="6">
        <f t="shared" si="37"/>
        <v>-2.937614581582166E-3</v>
      </c>
      <c r="W91" s="6">
        <f t="shared" si="38"/>
        <v>-0.13138643710903525</v>
      </c>
      <c r="X91" s="6">
        <f t="shared" si="39"/>
        <v>-0.13432405169061745</v>
      </c>
      <c r="Y91">
        <f t="shared" si="40"/>
        <v>0.76427889594470066</v>
      </c>
      <c r="AA91" s="43">
        <f t="shared" si="48"/>
        <v>82</v>
      </c>
      <c r="AB91" s="6">
        <f t="shared" si="49"/>
        <v>0.99671883383391069</v>
      </c>
      <c r="AC91" s="6">
        <f>VLOOKUP($C91,'hours (1)'!$A$19:$P$103,16)</f>
        <v>0</v>
      </c>
      <c r="AD91" s="6">
        <f t="shared" si="50"/>
        <v>0.99852205505278646</v>
      </c>
    </row>
    <row r="92" spans="1:30" x14ac:dyDescent="0.25">
      <c r="A92" s="39">
        <f>'hours (1)'!$A92*'hours (1)'!$B92/'hours (1)'!$A$105</f>
        <v>1.5392736740416385E-3</v>
      </c>
      <c r="B92" s="9">
        <f>'hours (2)'!$E92</f>
        <v>82.194425019587612</v>
      </c>
      <c r="C92" s="26">
        <f t="shared" si="41"/>
        <v>84</v>
      </c>
      <c r="D92" s="25">
        <f t="shared" si="26"/>
        <v>0.47327359084071186</v>
      </c>
      <c r="E92" s="25">
        <f t="shared" si="42"/>
        <v>2.4938836946941097E-3</v>
      </c>
      <c r="F92" s="25">
        <f t="shared" si="27"/>
        <v>2.1863243634961294E-3</v>
      </c>
      <c r="G92" s="30">
        <f t="shared" si="28"/>
        <v>9.0282983142140876E-6</v>
      </c>
      <c r="H92" s="9">
        <f>'hours (2)'!$K92</f>
        <v>83.759469070866004</v>
      </c>
      <c r="I92" s="7">
        <f t="shared" si="29"/>
        <v>0</v>
      </c>
      <c r="J92" s="9">
        <f t="shared" si="30"/>
        <v>7.5447000922929247E-2</v>
      </c>
      <c r="K92" s="18">
        <f t="shared" si="43"/>
        <v>1.897799919113005E-3</v>
      </c>
      <c r="L92" s="19">
        <f t="shared" si="31"/>
        <v>8.349828786896607E-5</v>
      </c>
      <c r="M92" s="19">
        <f t="shared" si="44"/>
        <v>5.6533836421161693E-2</v>
      </c>
      <c r="N92" s="19">
        <f t="shared" si="45"/>
        <v>3.7052145213586817E-2</v>
      </c>
      <c r="O92" s="19">
        <f t="shared" si="32"/>
        <v>-1.0133116568056266E-11</v>
      </c>
      <c r="P92" s="21">
        <f t="shared" si="33"/>
        <v>34.77234732595177</v>
      </c>
      <c r="Q92" s="9">
        <f t="shared" si="46"/>
        <v>0.41514526908631766</v>
      </c>
      <c r="R92" s="9">
        <f t="shared" si="34"/>
        <v>5.8968082320821464</v>
      </c>
      <c r="S92" s="6">
        <f t="shared" si="47"/>
        <v>2.4842672867394111E-2</v>
      </c>
      <c r="T92" s="6">
        <f t="shared" si="35"/>
        <v>2.3608902686794123E-2</v>
      </c>
      <c r="U92" s="6">
        <f t="shared" si="36"/>
        <v>0.5282226482649337</v>
      </c>
      <c r="V92" s="6">
        <f t="shared" si="37"/>
        <v>-2.8675709966088274E-3</v>
      </c>
      <c r="W92" s="6">
        <f t="shared" si="38"/>
        <v>-0.13104513245749161</v>
      </c>
      <c r="X92" s="6">
        <f t="shared" si="39"/>
        <v>-0.13391270345410036</v>
      </c>
      <c r="Y92">
        <f t="shared" si="40"/>
        <v>0.76638043751597718</v>
      </c>
      <c r="AA92" s="43">
        <f t="shared" si="48"/>
        <v>84</v>
      </c>
      <c r="AB92" s="6">
        <f t="shared" si="49"/>
        <v>0.99747090246479531</v>
      </c>
      <c r="AC92" s="6">
        <f>VLOOKUP($C92,'hours (1)'!$A$19:$P$103,16)</f>
        <v>0.12384700904139835</v>
      </c>
      <c r="AD92" s="6">
        <f t="shared" si="50"/>
        <v>0.99872265102168856</v>
      </c>
    </row>
    <row r="93" spans="1:30" x14ac:dyDescent="0.25">
      <c r="A93" s="39">
        <f>'hours (1)'!$A93*'hours (1)'!$B93/'hours (1)'!$A$105</f>
        <v>6.3559081061839761E-4</v>
      </c>
      <c r="B93" s="9">
        <f>'hours (2)'!$E93</f>
        <v>83.194425019587612</v>
      </c>
      <c r="C93" s="26">
        <f t="shared" si="41"/>
        <v>85</v>
      </c>
      <c r="D93" s="25">
        <f t="shared" si="26"/>
        <v>0.4677056662425858</v>
      </c>
      <c r="E93" s="25">
        <f t="shared" si="42"/>
        <v>2.4642657558685802E-3</v>
      </c>
      <c r="F93" s="25">
        <f t="shared" si="27"/>
        <v>2.1603247697435175E-3</v>
      </c>
      <c r="G93" s="30">
        <f t="shared" si="28"/>
        <v>9.0423716261131164E-6</v>
      </c>
      <c r="H93" s="9">
        <f>'hours (2)'!$K93</f>
        <v>84.759469070866004</v>
      </c>
      <c r="I93" s="7">
        <f t="shared" si="29"/>
        <v>0</v>
      </c>
      <c r="J93" s="9">
        <f t="shared" si="30"/>
        <v>7.4548523452205029E-2</v>
      </c>
      <c r="K93" s="18">
        <f t="shared" si="43"/>
        <v>1.8751995446725802E-3</v>
      </c>
      <c r="L93" s="19">
        <f t="shared" si="31"/>
        <v>5.0662275931159795E-5</v>
      </c>
      <c r="M93" s="19">
        <f t="shared" si="44"/>
        <v>5.6596402703366785E-2</v>
      </c>
      <c r="N93" s="19">
        <f t="shared" si="45"/>
        <v>3.7109902099543714E-2</v>
      </c>
      <c r="O93" s="19">
        <f t="shared" si="32"/>
        <v>-2.2582907766022231E-12</v>
      </c>
      <c r="P93" s="21">
        <f t="shared" si="33"/>
        <v>34.779214661690766</v>
      </c>
      <c r="Q93" s="9">
        <f t="shared" si="46"/>
        <v>0.41032836853440452</v>
      </c>
      <c r="R93" s="9">
        <f t="shared" si="34"/>
        <v>5.8973904959474037</v>
      </c>
      <c r="S93" s="6">
        <f t="shared" si="47"/>
        <v>2.4840220089214163E-2</v>
      </c>
      <c r="T93" s="6">
        <f t="shared" si="35"/>
        <v>2.3621006042508413E-2</v>
      </c>
      <c r="U93" s="6">
        <f t="shared" si="36"/>
        <v>0.5278510842299059</v>
      </c>
      <c r="V93" s="6">
        <f t="shared" si="37"/>
        <v>-2.8337870212805888E-3</v>
      </c>
      <c r="W93" s="6">
        <f t="shared" si="38"/>
        <v>-0.13088144176611038</v>
      </c>
      <c r="X93" s="6">
        <f t="shared" si="39"/>
        <v>-0.13371522878739112</v>
      </c>
      <c r="Y93">
        <f t="shared" si="40"/>
        <v>0.76739444794329181</v>
      </c>
      <c r="AA93" s="43">
        <f t="shared" si="48"/>
        <v>85</v>
      </c>
      <c r="AB93" s="6">
        <f t="shared" si="49"/>
        <v>0.99777784048853513</v>
      </c>
      <c r="AC93" s="6">
        <f>VLOOKUP($C93,'hours (1)'!$A$19:$P$103,16)</f>
        <v>0.16763775735501135</v>
      </c>
      <c r="AD93" s="6">
        <f t="shared" si="50"/>
        <v>0.99883346683520846</v>
      </c>
    </row>
    <row r="94" spans="1:30" x14ac:dyDescent="0.25">
      <c r="A94" s="39">
        <f>'hours (1)'!$A94*'hours (1)'!$B94/'hours (1)'!$A$105</f>
        <v>6.2866001373679725E-5</v>
      </c>
      <c r="B94" s="9">
        <f>'hours (2)'!$E94</f>
        <v>84.194425019587612</v>
      </c>
      <c r="C94" s="26">
        <f t="shared" si="41"/>
        <v>86</v>
      </c>
      <c r="D94" s="25">
        <f t="shared" si="26"/>
        <v>0.46226722826302086</v>
      </c>
      <c r="E94" s="25">
        <f t="shared" si="42"/>
        <v>2.4353430905051051E-3</v>
      </c>
      <c r="F94" s="25">
        <f t="shared" si="27"/>
        <v>2.1349363018931247E-3</v>
      </c>
      <c r="G94" s="30">
        <f t="shared" si="28"/>
        <v>9.0561141418653551E-6</v>
      </c>
      <c r="H94" s="9">
        <f>'hours (2)'!$K94</f>
        <v>85.759469070866004</v>
      </c>
      <c r="I94" s="7">
        <f t="shared" si="29"/>
        <v>0</v>
      </c>
      <c r="J94" s="9">
        <f t="shared" si="30"/>
        <v>7.3671194177859126E-2</v>
      </c>
      <c r="K94" s="18">
        <f t="shared" si="43"/>
        <v>1.8531311336619164E-3</v>
      </c>
      <c r="L94" s="19">
        <f t="shared" si="31"/>
        <v>1.8602427727179571E-5</v>
      </c>
      <c r="M94" s="19">
        <f t="shared" si="44"/>
        <v>5.6657499088881201E-2</v>
      </c>
      <c r="N94" s="19">
        <f t="shared" si="45"/>
        <v>3.7166301397786913E-2</v>
      </c>
      <c r="O94" s="19">
        <f t="shared" si="32"/>
        <v>-1.1152190282359697E-13</v>
      </c>
      <c r="P94" s="21">
        <f t="shared" si="33"/>
        <v>34.785903170663367</v>
      </c>
      <c r="Q94" s="9">
        <f t="shared" si="46"/>
        <v>0.40562171789937945</v>
      </c>
      <c r="R94" s="9">
        <f t="shared" si="34"/>
        <v>5.8979575422906674</v>
      </c>
      <c r="S94" s="6">
        <f t="shared" si="47"/>
        <v>2.4837831880098304E-2</v>
      </c>
      <c r="T94" s="6">
        <f t="shared" si="35"/>
        <v>2.3632834503107453E-2</v>
      </c>
      <c r="U94" s="6">
        <f t="shared" si="36"/>
        <v>0.52748916263423817</v>
      </c>
      <c r="V94" s="6">
        <f t="shared" si="37"/>
        <v>-2.8007898216112692E-3</v>
      </c>
      <c r="W94" s="6">
        <f t="shared" si="38"/>
        <v>-0.13072214405702012</v>
      </c>
      <c r="X94" s="6">
        <f t="shared" si="39"/>
        <v>-0.13352293387863143</v>
      </c>
      <c r="Y94">
        <f t="shared" si="40"/>
        <v>0.76838507874504958</v>
      </c>
      <c r="AA94" s="43">
        <f t="shared" si="48"/>
        <v>86</v>
      </c>
      <c r="AB94" s="6">
        <f t="shared" si="49"/>
        <v>0.99780785135796002</v>
      </c>
      <c r="AC94" s="6">
        <f>VLOOKUP($C94,'hours (1)'!$A$19:$P$103,16)</f>
        <v>0</v>
      </c>
      <c r="AD94" s="6">
        <f t="shared" si="50"/>
        <v>0.99883346683520846</v>
      </c>
    </row>
    <row r="95" spans="1:30" x14ac:dyDescent="0.25">
      <c r="A95" s="39">
        <f>'hours (1)'!$A95*'hours (1)'!$B95/'hours (1)'!$A$105</f>
        <v>3.635257383757674E-5</v>
      </c>
      <c r="B95" s="9">
        <f>'hours (2)'!$E95</f>
        <v>85.194425019587612</v>
      </c>
      <c r="C95" s="26">
        <f t="shared" si="41"/>
        <v>87</v>
      </c>
      <c r="D95" s="25">
        <f t="shared" si="26"/>
        <v>0.45695381184620454</v>
      </c>
      <c r="E95" s="25">
        <f t="shared" si="42"/>
        <v>2.407091499510833E-3</v>
      </c>
      <c r="F95" s="25">
        <f t="shared" si="27"/>
        <v>2.1101376624920939E-3</v>
      </c>
      <c r="G95" s="30">
        <f t="shared" si="28"/>
        <v>9.0695373895623377E-6</v>
      </c>
      <c r="H95" s="9">
        <f>'hours (2)'!$K95</f>
        <v>86.759469070866004</v>
      </c>
      <c r="I95" s="7">
        <f t="shared" si="29"/>
        <v>0</v>
      </c>
      <c r="J95" s="9">
        <f t="shared" si="30"/>
        <v>7.281427509133348E-2</v>
      </c>
      <c r="K95" s="18">
        <f t="shared" si="43"/>
        <v>1.8315761221544874E-3</v>
      </c>
      <c r="L95" s="19">
        <f t="shared" si="31"/>
        <v>-1.2708454612861408E-5</v>
      </c>
      <c r="M95" s="19">
        <f t="shared" si="44"/>
        <v>5.6717176777670547E-2</v>
      </c>
      <c r="N95" s="19">
        <f t="shared" si="45"/>
        <v>3.7221390419615481E-2</v>
      </c>
      <c r="O95" s="19">
        <f t="shared" si="32"/>
        <v>3.5485503424581566E-14</v>
      </c>
      <c r="P95" s="21">
        <f t="shared" si="33"/>
        <v>34.792419743043091</v>
      </c>
      <c r="Q95" s="9">
        <f t="shared" si="46"/>
        <v>0.40102158433708596</v>
      </c>
      <c r="R95" s="9">
        <f t="shared" si="34"/>
        <v>5.8985099595612356</v>
      </c>
      <c r="S95" s="6">
        <f t="shared" si="47"/>
        <v>2.4835505725291737E-2</v>
      </c>
      <c r="T95" s="6">
        <f t="shared" si="35"/>
        <v>2.3644397291950447E-2</v>
      </c>
      <c r="U95" s="6">
        <f t="shared" si="36"/>
        <v>0.52713651344640444</v>
      </c>
      <c r="V95" s="6">
        <f t="shared" si="37"/>
        <v>-2.7685522297796086E-3</v>
      </c>
      <c r="W95" s="6">
        <f t="shared" si="38"/>
        <v>-0.13056706548123273</v>
      </c>
      <c r="X95" s="6">
        <f t="shared" si="39"/>
        <v>-0.13333561771101246</v>
      </c>
      <c r="Y95">
        <f t="shared" si="40"/>
        <v>0.76935312744956397</v>
      </c>
      <c r="AA95" s="43">
        <f t="shared" si="48"/>
        <v>87</v>
      </c>
      <c r="AB95" s="6">
        <f t="shared" si="49"/>
        <v>0.99782500848050371</v>
      </c>
      <c r="AC95" s="6">
        <f>VLOOKUP($C95,'hours (1)'!$A$19:$P$103,16)</f>
        <v>0</v>
      </c>
      <c r="AD95" s="6">
        <f t="shared" si="50"/>
        <v>0.99883346683520846</v>
      </c>
    </row>
    <row r="96" spans="1:30" x14ac:dyDescent="0.25">
      <c r="A96" s="39">
        <f>'hours (1)'!$A96*'hours (1)'!$B96/'hours (1)'!$A$105</f>
        <v>2.4316544559487854E-5</v>
      </c>
      <c r="B96" s="9">
        <f>'hours (2)'!$E96</f>
        <v>87.194425019587612</v>
      </c>
      <c r="C96" s="26">
        <f t="shared" si="41"/>
        <v>89</v>
      </c>
      <c r="D96" s="25">
        <f t="shared" si="26"/>
        <v>0.44668518686089659</v>
      </c>
      <c r="E96" s="25">
        <f t="shared" si="42"/>
        <v>2.3525102321760123E-3</v>
      </c>
      <c r="F96" s="25">
        <f t="shared" si="27"/>
        <v>2.0622295150902782E-3</v>
      </c>
      <c r="G96" s="30">
        <f t="shared" si="28"/>
        <v>9.0954695755536172E-6</v>
      </c>
      <c r="H96" s="9">
        <f>'hours (2)'!$K96</f>
        <v>88.759469070866004</v>
      </c>
      <c r="I96" s="7">
        <f t="shared" si="29"/>
        <v>0</v>
      </c>
      <c r="J96" s="9">
        <f t="shared" si="30"/>
        <v>7.1158883243527399E-2</v>
      </c>
      <c r="K96" s="18">
        <f t="shared" si="43"/>
        <v>1.7899362626977021E-3</v>
      </c>
      <c r="L96" s="19">
        <f t="shared" si="31"/>
        <v>-7.318590467572661E-5</v>
      </c>
      <c r="M96" s="19">
        <f t="shared" si="44"/>
        <v>5.6832469244892291E-2</v>
      </c>
      <c r="N96" s="19">
        <f t="shared" si="45"/>
        <v>3.7327816136579428E-2</v>
      </c>
      <c r="O96" s="19">
        <f t="shared" si="32"/>
        <v>6.7493649558159063E-12</v>
      </c>
      <c r="P96" s="21">
        <f t="shared" si="33"/>
        <v>34.804962914327263</v>
      </c>
      <c r="Q96" s="9">
        <f t="shared" si="46"/>
        <v>0.39212675874096098</v>
      </c>
      <c r="R96" s="9">
        <f t="shared" si="34"/>
        <v>5.899573112889378</v>
      </c>
      <c r="S96" s="6">
        <f t="shared" si="47"/>
        <v>2.4831030155608523E-2</v>
      </c>
      <c r="T96" s="6">
        <f t="shared" si="35"/>
        <v>2.3666760738899707E-2</v>
      </c>
      <c r="U96" s="6">
        <f t="shared" si="36"/>
        <v>0.52645764435748055</v>
      </c>
      <c r="V96" s="6">
        <f t="shared" si="37"/>
        <v>-2.7062533117519771E-3</v>
      </c>
      <c r="W96" s="6">
        <f t="shared" si="38"/>
        <v>-0.13026891488403292</v>
      </c>
      <c r="X96" s="6">
        <f t="shared" si="39"/>
        <v>-0.13297516819578498</v>
      </c>
      <c r="Y96">
        <f t="shared" si="40"/>
        <v>0.77122449178980479</v>
      </c>
      <c r="AA96" s="43">
        <f t="shared" si="48"/>
        <v>89</v>
      </c>
      <c r="AB96" s="6">
        <f t="shared" si="49"/>
        <v>0.99783623047056602</v>
      </c>
      <c r="AC96" s="6">
        <f>VLOOKUP($C96,'hours (1)'!$A$19:$P$103,16)</f>
        <v>0</v>
      </c>
      <c r="AD96" s="6">
        <f t="shared" si="50"/>
        <v>0.99883346683520846</v>
      </c>
    </row>
    <row r="97" spans="1:30" x14ac:dyDescent="0.25">
      <c r="A97" s="39">
        <f>'hours (1)'!$A97*'hours (1)'!$B97/'hours (1)'!$A$105</f>
        <v>1.0914241648678396E-3</v>
      </c>
      <c r="B97" s="9">
        <f>'hours (2)'!$E97</f>
        <v>88.194425019587612</v>
      </c>
      <c r="C97" s="26">
        <f t="shared" si="41"/>
        <v>90</v>
      </c>
      <c r="D97" s="25">
        <f t="shared" si="26"/>
        <v>0.44172201811799772</v>
      </c>
      <c r="E97" s="25">
        <f t="shared" si="42"/>
        <v>2.326137460968642E-3</v>
      </c>
      <c r="F97" s="25">
        <f t="shared" si="27"/>
        <v>2.0390820851838602E-3</v>
      </c>
      <c r="G97" s="30">
        <f t="shared" si="28"/>
        <v>9.1079990405842475E-6</v>
      </c>
      <c r="H97" s="9">
        <f>'hours (2)'!$K97</f>
        <v>89.759469070866004</v>
      </c>
      <c r="I97" s="7">
        <f t="shared" si="29"/>
        <v>0</v>
      </c>
      <c r="J97" s="9">
        <f t="shared" si="30"/>
        <v>7.0359096602737287E-2</v>
      </c>
      <c r="K97" s="18">
        <f t="shared" si="43"/>
        <v>1.769818365317664E-3</v>
      </c>
      <c r="L97" s="19">
        <f t="shared" si="31"/>
        <v>-1.0240086981300189E-4</v>
      </c>
      <c r="M97" s="19">
        <f t="shared" si="44"/>
        <v>5.6888175194370179E-2</v>
      </c>
      <c r="N97" s="19">
        <f t="shared" si="45"/>
        <v>3.7379237073461032E-2</v>
      </c>
      <c r="O97" s="19">
        <f t="shared" si="32"/>
        <v>1.8450782568457669E-11</v>
      </c>
      <c r="P97" s="21">
        <f t="shared" si="33"/>
        <v>34.811001633082931</v>
      </c>
      <c r="Q97" s="9">
        <f t="shared" si="46"/>
        <v>0.38782539595459609</v>
      </c>
      <c r="R97" s="9">
        <f t="shared" si="34"/>
        <v>5.900084883548959</v>
      </c>
      <c r="S97" s="6">
        <f t="shared" si="47"/>
        <v>2.4828876323429561E-2</v>
      </c>
      <c r="T97" s="6">
        <f t="shared" si="35"/>
        <v>2.3677577899405534E-2</v>
      </c>
      <c r="U97" s="6">
        <f t="shared" si="36"/>
        <v>0.5261307731839594</v>
      </c>
      <c r="V97" s="6">
        <f t="shared" si="37"/>
        <v>-2.6761435592682101E-3</v>
      </c>
      <c r="W97" s="6">
        <f t="shared" si="38"/>
        <v>-0.13012553802866544</v>
      </c>
      <c r="X97" s="6">
        <f t="shared" si="39"/>
        <v>-0.13280168158793362</v>
      </c>
      <c r="Y97">
        <f t="shared" si="40"/>
        <v>0.77212923139595635</v>
      </c>
      <c r="AA97" s="43">
        <f t="shared" si="48"/>
        <v>90</v>
      </c>
      <c r="AB97" s="6">
        <f t="shared" si="49"/>
        <v>0.99833439333419327</v>
      </c>
      <c r="AC97" s="6">
        <f>VLOOKUP($C97,'hours (1)'!$A$19:$P$103,16)</f>
        <v>0.16005690514757984</v>
      </c>
      <c r="AD97" s="6">
        <f t="shared" si="50"/>
        <v>0.99900518845193265</v>
      </c>
    </row>
    <row r="98" spans="1:30" x14ac:dyDescent="0.25">
      <c r="A98" s="39">
        <f>'hours (1)'!$A98*'hours (1)'!$B98/'hours (1)'!$A$105</f>
        <v>1.3983102524572018E-4</v>
      </c>
      <c r="B98" s="9">
        <f>'hours (2)'!$E98</f>
        <v>89.194425019587612</v>
      </c>
      <c r="C98" s="26">
        <f t="shared" si="41"/>
        <v>91</v>
      </c>
      <c r="D98" s="25">
        <f t="shared" si="26"/>
        <v>0.43686793000681096</v>
      </c>
      <c r="E98" s="25">
        <f t="shared" si="42"/>
        <v>2.3003494608834119E-3</v>
      </c>
      <c r="F98" s="25">
        <f t="shared" si="27"/>
        <v>2.0164485397775834E-3</v>
      </c>
      <c r="G98" s="30">
        <f t="shared" si="28"/>
        <v>9.1202503452359363E-6</v>
      </c>
      <c r="H98" s="9">
        <f>'hours (2)'!$K98</f>
        <v>90.759469070866004</v>
      </c>
      <c r="I98" s="7">
        <f t="shared" si="29"/>
        <v>0</v>
      </c>
      <c r="J98" s="9">
        <f t="shared" si="30"/>
        <v>6.9577088911993892E-2</v>
      </c>
      <c r="K98" s="18">
        <f t="shared" si="43"/>
        <v>1.7501476810746336E-3</v>
      </c>
      <c r="L98" s="19">
        <f t="shared" si="31"/>
        <v>-1.3096379309147921E-4</v>
      </c>
      <c r="M98" s="19">
        <f t="shared" si="44"/>
        <v>5.6942645029730225E-2</v>
      </c>
      <c r="N98" s="19">
        <f t="shared" si="45"/>
        <v>3.742951643987226E-2</v>
      </c>
      <c r="O98" s="19">
        <f t="shared" si="32"/>
        <v>3.8521255629753171E-11</v>
      </c>
      <c r="P98" s="21">
        <f t="shared" si="33"/>
        <v>34.816892693909097</v>
      </c>
      <c r="Q98" s="9">
        <f t="shared" si="46"/>
        <v>0.38361719223724944</v>
      </c>
      <c r="R98" s="9">
        <f t="shared" si="34"/>
        <v>5.9005840976897446</v>
      </c>
      <c r="S98" s="6">
        <f t="shared" si="47"/>
        <v>2.4826775696448356E-2</v>
      </c>
      <c r="T98" s="6">
        <f t="shared" si="35"/>
        <v>2.3688162432835801E-2</v>
      </c>
      <c r="U98" s="6">
        <f t="shared" si="36"/>
        <v>0.52581186979991312</v>
      </c>
      <c r="V98" s="6">
        <f t="shared" si="37"/>
        <v>-2.646696436488486E-3</v>
      </c>
      <c r="W98" s="6">
        <f t="shared" si="38"/>
        <v>-0.12998576961226607</v>
      </c>
      <c r="X98" s="6">
        <f t="shared" si="39"/>
        <v>-0.13263246604875456</v>
      </c>
      <c r="Y98">
        <f t="shared" si="40"/>
        <v>0.77301424042301736</v>
      </c>
      <c r="AA98" s="43">
        <f t="shared" si="48"/>
        <v>91</v>
      </c>
      <c r="AB98" s="6">
        <f t="shared" si="49"/>
        <v>0.99839752440326135</v>
      </c>
      <c r="AC98" s="6">
        <f>VLOOKUP($C98,'hours (1)'!$A$19:$P$103,16)</f>
        <v>7.1411137265055727E-2</v>
      </c>
      <c r="AD98" s="6">
        <f t="shared" si="50"/>
        <v>0.99901489776036911</v>
      </c>
    </row>
    <row r="99" spans="1:30" x14ac:dyDescent="0.25">
      <c r="A99" s="39">
        <f>'hours (1)'!$A99*'hours (1)'!$B99/'hours (1)'!$A$105</f>
        <v>3.1913045983324432E-5</v>
      </c>
      <c r="B99" s="9">
        <f>'hours (2)'!$E99</f>
        <v>92.194425019587612</v>
      </c>
      <c r="C99" s="26">
        <f t="shared" si="41"/>
        <v>94</v>
      </c>
      <c r="D99" s="25">
        <f t="shared" si="26"/>
        <v>0.42292533649595526</v>
      </c>
      <c r="E99" s="25">
        <f t="shared" si="42"/>
        <v>2.2263058464085592E-3</v>
      </c>
      <c r="F99" s="25">
        <f t="shared" si="27"/>
        <v>1.9514655929975982E-3</v>
      </c>
      <c r="G99" s="30">
        <f t="shared" si="28"/>
        <v>9.155424943995229E-6</v>
      </c>
      <c r="H99" s="9">
        <f>'hours (2)'!$K99</f>
        <v>93.759469070866004</v>
      </c>
      <c r="I99" s="7">
        <f t="shared" si="29"/>
        <v>0</v>
      </c>
      <c r="J99" s="9">
        <f t="shared" si="30"/>
        <v>6.7332002412744285E-2</v>
      </c>
      <c r="K99" s="18">
        <f t="shared" si="43"/>
        <v>1.6936745950068386E-3</v>
      </c>
      <c r="L99" s="19">
        <f t="shared" si="31"/>
        <v>-2.1295152787095817E-4</v>
      </c>
      <c r="M99" s="19">
        <f t="shared" si="44"/>
        <v>5.7099036051036015E-2</v>
      </c>
      <c r="N99" s="19">
        <f t="shared" si="45"/>
        <v>3.7573873027980022E-2</v>
      </c>
      <c r="O99" s="19">
        <f t="shared" si="32"/>
        <v>1.6467485708382412E-10</v>
      </c>
      <c r="P99" s="21">
        <f t="shared" si="33"/>
        <v>34.83373213745881</v>
      </c>
      <c r="Q99" s="9">
        <f t="shared" si="46"/>
        <v>0.3715222844439372</v>
      </c>
      <c r="R99" s="9">
        <f t="shared" si="34"/>
        <v>5.90201085541689</v>
      </c>
      <c r="S99" s="6">
        <f t="shared" si="47"/>
        <v>2.4820774048038556E-2</v>
      </c>
      <c r="T99" s="6">
        <f t="shared" si="35"/>
        <v>2.3718592729110498E-2</v>
      </c>
      <c r="U99" s="6">
        <f t="shared" si="36"/>
        <v>0.52490015907921195</v>
      </c>
      <c r="V99" s="6">
        <f t="shared" si="37"/>
        <v>-2.562119097415258E-3</v>
      </c>
      <c r="W99" s="6">
        <f t="shared" si="38"/>
        <v>-0.12958680659779354</v>
      </c>
      <c r="X99" s="6">
        <f t="shared" si="39"/>
        <v>-0.13214892569520886</v>
      </c>
      <c r="Y99">
        <f t="shared" si="40"/>
        <v>0.77555712195227766</v>
      </c>
      <c r="AA99" s="43">
        <f t="shared" si="48"/>
        <v>94</v>
      </c>
      <c r="AB99" s="6">
        <f t="shared" si="49"/>
        <v>0.99841147827304932</v>
      </c>
      <c r="AC99" s="6">
        <f>VLOOKUP($C99,'hours (1)'!$A$19:$P$103,16)</f>
        <v>1</v>
      </c>
      <c r="AD99" s="6">
        <f t="shared" si="50"/>
        <v>0.99904494979428271</v>
      </c>
    </row>
    <row r="100" spans="1:30" x14ac:dyDescent="0.25">
      <c r="A100" s="39">
        <f>'hours (1)'!$A100*'hours (1)'!$B100/'hours (1)'!$A$105</f>
        <v>8.4377078426558727E-5</v>
      </c>
      <c r="B100" s="9">
        <f>'hours (2)'!$E100</f>
        <v>93.194425019587612</v>
      </c>
      <c r="C100" s="26">
        <f t="shared" si="41"/>
        <v>95</v>
      </c>
      <c r="D100" s="25">
        <f t="shared" si="26"/>
        <v>0.41847349084862945</v>
      </c>
      <c r="E100" s="25">
        <f t="shared" si="42"/>
        <v>2.2026726868386672E-3</v>
      </c>
      <c r="F100" s="25">
        <f t="shared" si="27"/>
        <v>1.930725488726769E-3</v>
      </c>
      <c r="G100" s="30">
        <f t="shared" si="28"/>
        <v>9.1666513484921253E-6</v>
      </c>
      <c r="H100" s="9">
        <f>'hours (2)'!$K100</f>
        <v>94.759469070866004</v>
      </c>
      <c r="I100" s="7">
        <f t="shared" si="29"/>
        <v>0</v>
      </c>
      <c r="J100" s="9">
        <f t="shared" si="30"/>
        <v>6.6615495505986597E-2</v>
      </c>
      <c r="K100" s="18">
        <f t="shared" si="43"/>
        <v>1.6756515227434664E-3</v>
      </c>
      <c r="L100" s="19">
        <f t="shared" si="31"/>
        <v>-2.3911298733465813E-4</v>
      </c>
      <c r="M100" s="19">
        <f t="shared" si="44"/>
        <v>5.7148951168731817E-2</v>
      </c>
      <c r="N100" s="19">
        <f t="shared" si="45"/>
        <v>3.7619946203142005E-2</v>
      </c>
      <c r="O100" s="19">
        <f t="shared" si="32"/>
        <v>2.3270746440928747E-10</v>
      </c>
      <c r="P100" s="21">
        <f t="shared" si="33"/>
        <v>34.839083559600766</v>
      </c>
      <c r="Q100" s="9">
        <f t="shared" si="46"/>
        <v>0.3676580704936866</v>
      </c>
      <c r="R100" s="9">
        <f t="shared" si="34"/>
        <v>5.9024641938431754</v>
      </c>
      <c r="S100" s="6">
        <f t="shared" si="47"/>
        <v>2.4818867689901249E-2</v>
      </c>
      <c r="T100" s="6">
        <f t="shared" si="35"/>
        <v>2.3728317729081624E-2</v>
      </c>
      <c r="U100" s="6">
        <f t="shared" si="36"/>
        <v>0.52461038465065413</v>
      </c>
      <c r="V100" s="6">
        <f t="shared" si="37"/>
        <v>-2.5351152080288352E-3</v>
      </c>
      <c r="W100" s="6">
        <f t="shared" si="38"/>
        <v>-0.12946019470177109</v>
      </c>
      <c r="X100" s="6">
        <f t="shared" si="39"/>
        <v>-0.13199530990979993</v>
      </c>
      <c r="Y100">
        <f t="shared" si="40"/>
        <v>0.77636931675490939</v>
      </c>
      <c r="AA100" s="43">
        <f t="shared" si="48"/>
        <v>95</v>
      </c>
      <c r="AB100" s="6">
        <f t="shared" si="49"/>
        <v>0.99844798812962976</v>
      </c>
      <c r="AC100" s="6">
        <f>VLOOKUP($C100,'hours (1)'!$A$19:$P$103,16)</f>
        <v>0.61093299067674678</v>
      </c>
      <c r="AD100" s="6">
        <f t="shared" si="50"/>
        <v>0.9990929875720943</v>
      </c>
    </row>
    <row r="101" spans="1:30" x14ac:dyDescent="0.25">
      <c r="A101" s="39">
        <f>'hours (1)'!$A101*'hours (1)'!$B101/'hours (1)'!$A$105</f>
        <v>3.8131501811645247E-4</v>
      </c>
      <c r="B101" s="9">
        <f>'hours (2)'!$E101</f>
        <v>94.194425019587612</v>
      </c>
      <c r="C101" s="26">
        <f t="shared" si="41"/>
        <v>96</v>
      </c>
      <c r="D101" s="25">
        <f t="shared" si="26"/>
        <v>0.41411439198562289</v>
      </c>
      <c r="E101" s="25">
        <f t="shared" si="42"/>
        <v>2.1795360264171377E-3</v>
      </c>
      <c r="F101" s="25">
        <f t="shared" si="27"/>
        <v>1.9104216116189049E-3</v>
      </c>
      <c r="G101" s="30">
        <f t="shared" si="28"/>
        <v>9.1776416277256162E-6</v>
      </c>
      <c r="H101" s="9">
        <f>'hours (2)'!$K101</f>
        <v>95.759469070866004</v>
      </c>
      <c r="I101" s="7">
        <f t="shared" si="29"/>
        <v>0</v>
      </c>
      <c r="J101" s="9">
        <f t="shared" si="30"/>
        <v>6.5914077651717307E-2</v>
      </c>
      <c r="K101" s="18">
        <f t="shared" si="43"/>
        <v>1.6580080017179393E-3</v>
      </c>
      <c r="L101" s="19">
        <f t="shared" si="31"/>
        <v>-2.6472141119744663E-4</v>
      </c>
      <c r="M101" s="19">
        <f t="shared" si="44"/>
        <v>5.7197816891914957E-2</v>
      </c>
      <c r="N101" s="19">
        <f t="shared" si="45"/>
        <v>3.7665050319989374E-2</v>
      </c>
      <c r="O101" s="19">
        <f t="shared" si="32"/>
        <v>3.1521062149320045E-10</v>
      </c>
      <c r="P101" s="21">
        <f t="shared" si="33"/>
        <v>34.844311653651495</v>
      </c>
      <c r="Q101" s="9">
        <f t="shared" si="46"/>
        <v>0.36387327531928199</v>
      </c>
      <c r="R101" s="9">
        <f t="shared" si="34"/>
        <v>5.9029070510767401</v>
      </c>
      <c r="S101" s="6">
        <f t="shared" si="47"/>
        <v>2.4817005689535959E-2</v>
      </c>
      <c r="T101" s="6">
        <f t="shared" si="35"/>
        <v>2.373784415819909E-2</v>
      </c>
      <c r="U101" s="6">
        <f t="shared" si="36"/>
        <v>0.5243272694042852</v>
      </c>
      <c r="V101" s="6">
        <f t="shared" si="37"/>
        <v>-2.5086746062329417E-3</v>
      </c>
      <c r="W101" s="6">
        <f t="shared" si="38"/>
        <v>-0.12933658250994129</v>
      </c>
      <c r="X101" s="6">
        <f t="shared" si="39"/>
        <v>-0.13184525711617415</v>
      </c>
      <c r="Y101">
        <f t="shared" si="40"/>
        <v>0.77716470986284558</v>
      </c>
      <c r="AA101" s="43">
        <f t="shared" si="48"/>
        <v>96</v>
      </c>
      <c r="AB101" s="6">
        <f t="shared" si="49"/>
        <v>0.99861128415338718</v>
      </c>
      <c r="AC101" s="6">
        <f>VLOOKUP($C101,'hours (1)'!$A$19:$P$103,16)</f>
        <v>0.16278583426161031</v>
      </c>
      <c r="AD101" s="6">
        <f t="shared" si="50"/>
        <v>0.99915023703593042</v>
      </c>
    </row>
    <row r="102" spans="1:30" x14ac:dyDescent="0.25">
      <c r="A102" s="39">
        <f>'hours (1)'!$A102*'hours (1)'!$B102/'hours (1)'!$A$105</f>
        <v>1.3602345797954579E-4</v>
      </c>
      <c r="B102" s="9">
        <f>'hours (2)'!$E102</f>
        <v>96.194425019587612</v>
      </c>
      <c r="C102" s="26">
        <f t="shared" si="41"/>
        <v>98</v>
      </c>
      <c r="D102" s="25">
        <f t="shared" si="26"/>
        <v>0.40566307786346728</v>
      </c>
      <c r="E102" s="25">
        <f t="shared" si="42"/>
        <v>2.1346909041957346E-3</v>
      </c>
      <c r="F102" s="25">
        <f t="shared" si="27"/>
        <v>1.8710686203117519E-3</v>
      </c>
      <c r="G102" s="30">
        <f t="shared" si="28"/>
        <v>9.1989429959737139E-6</v>
      </c>
      <c r="H102" s="9">
        <f>'hours (2)'!$K102</f>
        <v>97.759469070866004</v>
      </c>
      <c r="I102" s="7">
        <f t="shared" si="29"/>
        <v>0</v>
      </c>
      <c r="J102" s="9">
        <f t="shared" si="30"/>
        <v>6.4554641803998974E-2</v>
      </c>
      <c r="K102" s="18">
        <f t="shared" si="43"/>
        <v>1.6238126432506805E-3</v>
      </c>
      <c r="L102" s="19">
        <f t="shared" si="31"/>
        <v>-3.1434784355327539E-4</v>
      </c>
      <c r="M102" s="19">
        <f t="shared" si="44"/>
        <v>5.7292529805266126E-2</v>
      </c>
      <c r="N102" s="19">
        <f t="shared" si="45"/>
        <v>3.7752471156353849E-2</v>
      </c>
      <c r="O102" s="19">
        <f t="shared" si="32"/>
        <v>5.2599276323395117E-10</v>
      </c>
      <c r="P102" s="21">
        <f t="shared" si="33"/>
        <v>34.854414516826814</v>
      </c>
      <c r="Q102" s="9">
        <f t="shared" si="46"/>
        <v>0.35653236303442676</v>
      </c>
      <c r="R102" s="9">
        <f t="shared" si="34"/>
        <v>5.9037627422540293</v>
      </c>
      <c r="S102" s="6">
        <f t="shared" si="47"/>
        <v>2.4813408713549225E-2</v>
      </c>
      <c r="T102" s="6">
        <f t="shared" si="35"/>
        <v>2.3756325074852189E-2</v>
      </c>
      <c r="U102" s="6">
        <f t="shared" si="36"/>
        <v>0.52378011985137185</v>
      </c>
      <c r="V102" s="6">
        <f t="shared" si="37"/>
        <v>-2.457414206531085E-3</v>
      </c>
      <c r="W102" s="6">
        <f t="shared" si="38"/>
        <v>-0.1290979419659338</v>
      </c>
      <c r="X102" s="6">
        <f t="shared" si="39"/>
        <v>-0.13155535617246486</v>
      </c>
      <c r="Y102">
        <f t="shared" si="40"/>
        <v>0.77870713067723085</v>
      </c>
      <c r="AA102" s="43">
        <f t="shared" si="48"/>
        <v>98</v>
      </c>
      <c r="AB102" s="6">
        <f t="shared" si="49"/>
        <v>0.99866836025577843</v>
      </c>
      <c r="AC102" s="6">
        <f>VLOOKUP($C102,'hours (1)'!$A$19:$P$103,16)</f>
        <v>0.31030432072726227</v>
      </c>
      <c r="AD102" s="6">
        <f t="shared" si="50"/>
        <v>0.99918838060571991</v>
      </c>
    </row>
    <row r="103" spans="1:30" x14ac:dyDescent="0.25">
      <c r="A103" s="39">
        <f>'hours (1)'!$A103*'hours (1)'!$B103/'hours (1)'!$A$105</f>
        <v>3.2055704739297011E-3</v>
      </c>
      <c r="B103" s="9">
        <f>'hours (2)'!$E103</f>
        <v>97.194425019587612</v>
      </c>
      <c r="C103" s="26">
        <f t="shared" si="41"/>
        <v>99</v>
      </c>
      <c r="D103" s="25">
        <f t="shared" si="26"/>
        <v>0.40156547101636159</v>
      </c>
      <c r="E103" s="25">
        <f t="shared" si="42"/>
        <v>2.1129533536641612E-3</v>
      </c>
      <c r="F103" s="25">
        <f t="shared" si="27"/>
        <v>1.8519939211325417E-3</v>
      </c>
      <c r="G103" s="30">
        <f t="shared" si="28"/>
        <v>9.2092679338740327E-6</v>
      </c>
      <c r="H103" s="9">
        <f>'hours (2)'!$K103</f>
        <v>98.759469070866004</v>
      </c>
      <c r="I103" s="7">
        <f t="shared" si="29"/>
        <v>0</v>
      </c>
      <c r="J103" s="9">
        <f t="shared" si="30"/>
        <v>6.3895737813760914E-2</v>
      </c>
      <c r="K103" s="18">
        <f t="shared" si="43"/>
        <v>1.6072385193745783E-3</v>
      </c>
      <c r="L103" s="19">
        <f t="shared" si="31"/>
        <v>-3.3839843849797768E-4</v>
      </c>
      <c r="M103" s="19">
        <f t="shared" si="44"/>
        <v>5.7338438517509326E-2</v>
      </c>
      <c r="N103" s="19">
        <f t="shared" si="45"/>
        <v>3.7794844711711628E-2</v>
      </c>
      <c r="O103" s="19">
        <f t="shared" si="32"/>
        <v>6.5510995239659309E-10</v>
      </c>
      <c r="P103" s="21">
        <f t="shared" si="33"/>
        <v>34.859297152266286</v>
      </c>
      <c r="Q103" s="9">
        <f t="shared" si="46"/>
        <v>0.35297169456482791</v>
      </c>
      <c r="R103" s="9">
        <f t="shared" si="34"/>
        <v>5.9041762467143784</v>
      </c>
      <c r="S103" s="6">
        <f t="shared" si="47"/>
        <v>2.4811670883452226E-2</v>
      </c>
      <c r="T103" s="6">
        <f t="shared" si="35"/>
        <v>2.3765290862834975E-2</v>
      </c>
      <c r="U103" s="6">
        <f t="shared" si="36"/>
        <v>0.52351566208743205</v>
      </c>
      <c r="V103" s="6">
        <f t="shared" si="37"/>
        <v>-2.4325616252208219E-3</v>
      </c>
      <c r="W103" s="6">
        <f t="shared" si="38"/>
        <v>-0.1289827177867173</v>
      </c>
      <c r="X103" s="6">
        <f t="shared" si="39"/>
        <v>-0.13141527941193804</v>
      </c>
      <c r="Y103">
        <f t="shared" si="40"/>
        <v>0.7794551272519642</v>
      </c>
      <c r="AA103" s="43">
        <f t="shared" si="48"/>
        <v>99</v>
      </c>
      <c r="AB103" s="6">
        <f t="shared" si="49"/>
        <v>1.0000000000000004</v>
      </c>
      <c r="AC103" s="6">
        <f>VLOOKUP($C103,'hours (1)'!$A$19:$P$103,16)</f>
        <v>0.28300001813675729</v>
      </c>
      <c r="AD103" s="6">
        <f t="shared" si="50"/>
        <v>1.0000000000000004</v>
      </c>
    </row>
  </sheetData>
  <mergeCells count="5">
    <mergeCell ref="G14:J14"/>
    <mergeCell ref="C15:G15"/>
    <mergeCell ref="H15:X15"/>
    <mergeCell ref="Y17:Z17"/>
    <mergeCell ref="E17:F17"/>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5"/>
  <sheetViews>
    <sheetView zoomScale="125" zoomScaleNormal="125" zoomScalePageLayoutView="125" workbookViewId="0"/>
  </sheetViews>
  <sheetFormatPr defaultColWidth="11" defaultRowHeight="15.75" x14ac:dyDescent="0.25"/>
  <cols>
    <col min="1" max="1" width="32.375" bestFit="1" customWidth="1"/>
    <col min="2" max="2" width="11.375" customWidth="1"/>
    <col min="5" max="7" width="7.125" customWidth="1"/>
  </cols>
  <sheetData>
    <row r="1" spans="1:14" x14ac:dyDescent="0.25">
      <c r="A1" s="5" t="str">
        <f>"Desired hours: "&amp;VLOOKUP($C$1,ParametersTax!$B$16:$G$20,6)&amp;" group"</f>
        <v>Desired hours: Subsidy slide, penalty group</v>
      </c>
      <c r="C1" s="2">
        <v>3</v>
      </c>
    </row>
    <row r="3" spans="1:14" x14ac:dyDescent="0.25">
      <c r="A3" s="1" t="s">
        <v>0</v>
      </c>
    </row>
    <row r="4" spans="1:14" x14ac:dyDescent="0.25">
      <c r="A4" t="s">
        <v>2</v>
      </c>
      <c r="B4" s="9">
        <f>ParametersOther!$B$4</f>
        <v>9.4905032911790893E-2</v>
      </c>
    </row>
    <row r="5" spans="1:14" x14ac:dyDescent="0.25">
      <c r="A5" t="s">
        <v>1</v>
      </c>
      <c r="B5" s="9">
        <f>ParametersOther!$B$5</f>
        <v>0.25</v>
      </c>
    </row>
    <row r="6" spans="1:14" x14ac:dyDescent="0.25">
      <c r="A6" t="s">
        <v>27</v>
      </c>
      <c r="B6" s="9">
        <f>ParametersOther!B6</f>
        <v>0.5</v>
      </c>
    </row>
    <row r="7" spans="1:14" x14ac:dyDescent="0.25">
      <c r="B7" s="7"/>
    </row>
    <row r="8" spans="1:14" x14ac:dyDescent="0.25">
      <c r="B8" s="9"/>
    </row>
    <row r="9" spans="1:14" x14ac:dyDescent="0.25">
      <c r="A9" t="s">
        <v>3</v>
      </c>
      <c r="B9" s="7">
        <f>SUMPRODUCT($A$46:$A$103,$B$46:$B$103)/SUM($B$46:$B$103)</f>
        <v>43.288296761716524</v>
      </c>
    </row>
    <row r="10" spans="1:14" x14ac:dyDescent="0.25">
      <c r="A10" t="s">
        <v>17</v>
      </c>
      <c r="B10" s="7">
        <f>SUMPRODUCT($A$19:$A$45,$B$19:$B$45)/SUM($B$19:$B$45)</f>
        <v>22.693124757509004</v>
      </c>
    </row>
    <row r="11" spans="1:14" x14ac:dyDescent="0.25">
      <c r="A11" t="s">
        <v>6</v>
      </c>
      <c r="B11" s="7">
        <f>ParametersOther!B16</f>
        <v>4.1410920000000004</v>
      </c>
    </row>
    <row r="12" spans="1:14" x14ac:dyDescent="0.25">
      <c r="A12" t="s">
        <v>67</v>
      </c>
      <c r="B12" s="14">
        <f>VLOOKUP($C$1,ParametersTax!$B$16:$E$20,3)</f>
        <v>0.23419152674892524</v>
      </c>
    </row>
    <row r="13" spans="1:14" x14ac:dyDescent="0.25">
      <c r="A13" t="s">
        <v>39</v>
      </c>
      <c r="B13" s="7">
        <f>VLOOKUP($C$1,ParametersTax!$B$16:$E$20,2)</f>
        <v>4.2</v>
      </c>
    </row>
    <row r="14" spans="1:14" x14ac:dyDescent="0.25">
      <c r="A14" t="s">
        <v>9</v>
      </c>
      <c r="B14" s="7">
        <f>ParametersOther!$B$11</f>
        <v>29</v>
      </c>
    </row>
    <row r="15" spans="1:14" x14ac:dyDescent="0.25">
      <c r="A15" t="s">
        <v>13</v>
      </c>
      <c r="B15" s="7">
        <f>ParametersOther!B17</f>
        <v>34.999000000000002</v>
      </c>
    </row>
    <row r="16" spans="1:14" x14ac:dyDescent="0.25">
      <c r="A16" t="s">
        <v>68</v>
      </c>
      <c r="B16" s="14">
        <f>ParametersOther!$B$21</f>
        <v>0.25</v>
      </c>
      <c r="N16" s="6">
        <f>SUMPRODUCT(N$19:N$103,$O$19:$O$103)/$B$105</f>
        <v>0.82258056664789381</v>
      </c>
    </row>
    <row r="17" spans="1:15" x14ac:dyDescent="0.25">
      <c r="C17" t="s">
        <v>21</v>
      </c>
      <c r="F17" s="95" t="s">
        <v>70</v>
      </c>
      <c r="G17" s="95"/>
      <c r="H17" s="95" t="s">
        <v>41</v>
      </c>
      <c r="I17" s="95"/>
      <c r="M17" s="6">
        <f>SUMPRODUCT(M$19:M$103,$B$19:$B$103)/$B$105</f>
        <v>0.82843963962161182</v>
      </c>
      <c r="N17" s="6">
        <f>SUMPRODUCT(N$19:N$103,$B$19:$B$103)/$B$105</f>
        <v>0.82843963962161182</v>
      </c>
    </row>
    <row r="18" spans="1:15" x14ac:dyDescent="0.25">
      <c r="A18" s="10" t="s">
        <v>4</v>
      </c>
      <c r="B18" s="1" t="s">
        <v>5</v>
      </c>
      <c r="C18" s="10" t="s">
        <v>22</v>
      </c>
      <c r="D18" s="10" t="s">
        <v>23</v>
      </c>
      <c r="E18" s="10" t="s">
        <v>8</v>
      </c>
      <c r="F18" s="10" t="s">
        <v>71</v>
      </c>
      <c r="G18" s="10" t="s">
        <v>72</v>
      </c>
      <c r="H18" s="10" t="s">
        <v>73</v>
      </c>
      <c r="I18" s="10" t="s">
        <v>10</v>
      </c>
      <c r="J18" s="10" t="s">
        <v>74</v>
      </c>
      <c r="K18" s="10" t="s">
        <v>11</v>
      </c>
      <c r="L18" s="11" t="s">
        <v>12</v>
      </c>
      <c r="M18" s="10" t="s">
        <v>15</v>
      </c>
      <c r="N18" s="10" t="s">
        <v>14</v>
      </c>
      <c r="O18" s="11" t="s">
        <v>16</v>
      </c>
    </row>
    <row r="19" spans="1:15" x14ac:dyDescent="0.25">
      <c r="A19">
        <f>'hours (1)'!A19</f>
        <v>8</v>
      </c>
      <c r="B19">
        <f>'hours (1)'!B19</f>
        <v>576349.6</v>
      </c>
      <c r="C19" s="6">
        <f>B19/$B$105</f>
        <v>4.231363238139366E-3</v>
      </c>
      <c r="D19" s="6">
        <v>0</v>
      </c>
      <c r="E19" s="9">
        <f>$A19-$B$5*((1-$B$16)*$B$4*$B$9+$B$11)</f>
        <v>6.1944250195876105</v>
      </c>
      <c r="F19" s="7">
        <f t="shared" ref="F19:F50" si="0">$A19-$B$5*$B$12*$B$4*$B$9</f>
        <v>7.7594690708660021</v>
      </c>
      <c r="G19" s="7">
        <f>F19+$B$5*$B$13*(1-$B$16-$B$12)</f>
        <v>8.3010679677796304</v>
      </c>
      <c r="H19" s="7">
        <f>($E19/G19-1+LN(G19/$E19))/$B$5+($B$13+$B$4*$B$9)*(1-$B$16-$B$12)/G19+$B$11/G19</f>
        <v>1.1709379207769253</v>
      </c>
      <c r="I19" s="7">
        <f>($E19/$B$14-1+LN($B$14/$E19))/$B$5+$B$4*$B$9*(1-$B$16-$B$12)/$B$14+$B$11/$B$14</f>
        <v>3.2448561273363552</v>
      </c>
      <c r="J19" t="b">
        <f t="shared" ref="J19:J50" si="1">F19&lt;=$B$14</f>
        <v>1</v>
      </c>
      <c r="K19" s="7">
        <f t="shared" ref="K19:K50" si="2">IF(J19,F19,IF(H19&lt;I19,G19,$B$14))</f>
        <v>7.7594690708660021</v>
      </c>
      <c r="L19" s="7">
        <f>K19-$A19</f>
        <v>-0.24053092913399787</v>
      </c>
      <c r="M19">
        <f t="shared" ref="M19:M50" si="3">IF($A19&gt;$B$15,1,0)</f>
        <v>0</v>
      </c>
      <c r="N19">
        <f t="shared" ref="N19:N50" si="4">IF($K19&gt;$B$15,1,0)</f>
        <v>0</v>
      </c>
      <c r="O19" s="3">
        <f>$B19*$A19/$K19</f>
        <v>594215.50081459479</v>
      </c>
    </row>
    <row r="20" spans="1:15" x14ac:dyDescent="0.25">
      <c r="A20">
        <f>'hours (1)'!A20</f>
        <v>9</v>
      </c>
      <c r="B20">
        <f>'hours (1)'!B20</f>
        <v>69603.850000000006</v>
      </c>
      <c r="C20" s="6">
        <f t="shared" ref="C20:C83" si="5">B20/$B$105+C19</f>
        <v>4.7423710919193753E-3</v>
      </c>
      <c r="D20" s="6">
        <f>$A19*$B19/$A$105+D19</f>
        <v>8.5148840514222583E-4</v>
      </c>
      <c r="E20" s="9">
        <f t="shared" ref="E20:E83" si="6">$A20-$B$5*((1-$B$16)*$B$4*$B$9+$B$11)</f>
        <v>7.1944250195876105</v>
      </c>
      <c r="F20" s="7">
        <f t="shared" si="0"/>
        <v>8.7594690708660021</v>
      </c>
      <c r="G20" s="7">
        <f t="shared" ref="G20:G83" si="7">F20+$B$5*$B$13*(1-$B$16-$B$12)</f>
        <v>9.3010679677796304</v>
      </c>
      <c r="H20" s="7">
        <f t="shared" ref="H20:H83" si="8">($E20/G20-1+LN(G20/$E20))/$B$5+($B$13+$B$4*$B$9)*(1-$B$16-$B$12)/G20+$B$11/G20</f>
        <v>1.0272912222063504</v>
      </c>
      <c r="I20" s="7">
        <f t="shared" ref="I20:I83" si="9">($E20/$B$14-1+LN($B$14/$E20))/$B$5+$B$4*$B$9*(1-$B$16-$B$12)/$B$14+$B$11/$B$14</f>
        <v>2.7841602573714428</v>
      </c>
      <c r="J20" t="b">
        <f t="shared" si="1"/>
        <v>1</v>
      </c>
      <c r="K20" s="7">
        <f t="shared" si="2"/>
        <v>8.7594690708660021</v>
      </c>
      <c r="L20" s="7">
        <f t="shared" ref="L20:L83" si="10">K20-$A20</f>
        <v>-0.24053092913399787</v>
      </c>
      <c r="M20">
        <f t="shared" si="3"/>
        <v>0</v>
      </c>
      <c r="N20">
        <f t="shared" si="4"/>
        <v>0</v>
      </c>
      <c r="O20" s="3">
        <f t="shared" ref="O20:O83" si="11">$B20*$A20/$K20</f>
        <v>71515.139209010042</v>
      </c>
    </row>
    <row r="21" spans="1:15" x14ac:dyDescent="0.25">
      <c r="A21">
        <f>'hours (1)'!A21</f>
        <v>10</v>
      </c>
      <c r="B21">
        <f>'hours (1)'!B21</f>
        <v>1164544</v>
      </c>
      <c r="C21" s="6">
        <f t="shared" si="5"/>
        <v>1.3292058071481382E-2</v>
      </c>
      <c r="D21" s="6">
        <f t="shared" ref="D21:D84" si="12">$A20*$B20/$A$105+D20</f>
        <v>9.6717379840317549E-4</v>
      </c>
      <c r="E21" s="9">
        <f t="shared" si="6"/>
        <v>8.1944250195876105</v>
      </c>
      <c r="F21" s="7">
        <f t="shared" si="0"/>
        <v>9.7594690708660021</v>
      </c>
      <c r="G21" s="7">
        <f t="shared" si="7"/>
        <v>10.30106796777963</v>
      </c>
      <c r="H21" s="7">
        <f t="shared" si="8"/>
        <v>0.91517411465139564</v>
      </c>
      <c r="I21" s="7">
        <f t="shared" si="9"/>
        <v>2.4015007953333436</v>
      </c>
      <c r="J21" t="b">
        <f t="shared" si="1"/>
        <v>1</v>
      </c>
      <c r="K21" s="7">
        <f t="shared" si="2"/>
        <v>9.7594690708660021</v>
      </c>
      <c r="L21" s="7">
        <f t="shared" si="10"/>
        <v>-0.24053092913399787</v>
      </c>
      <c r="M21">
        <f t="shared" si="3"/>
        <v>0</v>
      </c>
      <c r="N21">
        <f t="shared" si="4"/>
        <v>0</v>
      </c>
      <c r="O21" s="3">
        <f t="shared" si="11"/>
        <v>1193245.2385923334</v>
      </c>
    </row>
    <row r="22" spans="1:15" x14ac:dyDescent="0.25">
      <c r="A22">
        <f>'hours (1)'!A22</f>
        <v>11</v>
      </c>
      <c r="B22">
        <f>'hours (1)'!B22</f>
        <v>32083.200000000001</v>
      </c>
      <c r="C22" s="6">
        <f t="shared" si="5"/>
        <v>1.3527602041741573E-2</v>
      </c>
      <c r="D22" s="6">
        <f t="shared" si="12"/>
        <v>3.1177689260781759E-3</v>
      </c>
      <c r="E22" s="9">
        <f t="shared" si="6"/>
        <v>9.1944250195876105</v>
      </c>
      <c r="F22" s="7">
        <f t="shared" si="0"/>
        <v>10.759469070866002</v>
      </c>
      <c r="G22" s="7">
        <f t="shared" si="7"/>
        <v>11.30106796777963</v>
      </c>
      <c r="H22" s="7">
        <f t="shared" si="8"/>
        <v>0.82519962971988847</v>
      </c>
      <c r="I22" s="7">
        <f t="shared" si="9"/>
        <v>2.0788587223938086</v>
      </c>
      <c r="J22" t="b">
        <f t="shared" si="1"/>
        <v>1</v>
      </c>
      <c r="K22" s="7">
        <f t="shared" si="2"/>
        <v>10.759469070866002</v>
      </c>
      <c r="L22" s="7">
        <f t="shared" si="10"/>
        <v>-0.24053092913399787</v>
      </c>
      <c r="M22">
        <f t="shared" si="3"/>
        <v>0</v>
      </c>
      <c r="N22">
        <f t="shared" si="4"/>
        <v>0</v>
      </c>
      <c r="O22" s="3">
        <f t="shared" si="11"/>
        <v>32800.428875771169</v>
      </c>
    </row>
    <row r="23" spans="1:15" x14ac:dyDescent="0.25">
      <c r="A23">
        <f>'hours (1)'!A23</f>
        <v>12</v>
      </c>
      <c r="B23">
        <f>'hours (1)'!B23</f>
        <v>752013.2</v>
      </c>
      <c r="C23" s="6">
        <f t="shared" si="5"/>
        <v>1.9048627837674366E-2</v>
      </c>
      <c r="D23" s="6">
        <f t="shared" si="12"/>
        <v>3.1829427374242864E-3</v>
      </c>
      <c r="E23" s="9">
        <f t="shared" si="6"/>
        <v>10.19442501958761</v>
      </c>
      <c r="F23" s="7">
        <f t="shared" si="0"/>
        <v>11.759469070866002</v>
      </c>
      <c r="G23" s="7">
        <f t="shared" si="7"/>
        <v>12.30106796777963</v>
      </c>
      <c r="H23" s="7">
        <f t="shared" si="8"/>
        <v>0.75138032438723923</v>
      </c>
      <c r="I23" s="7">
        <f t="shared" si="9"/>
        <v>1.8038150372140598</v>
      </c>
      <c r="J23" t="b">
        <f t="shared" si="1"/>
        <v>1</v>
      </c>
      <c r="K23" s="7">
        <f t="shared" si="2"/>
        <v>11.759469070866002</v>
      </c>
      <c r="L23" s="7">
        <f t="shared" si="10"/>
        <v>-0.24053092913399787</v>
      </c>
      <c r="M23">
        <f t="shared" si="3"/>
        <v>0</v>
      </c>
      <c r="N23">
        <f t="shared" si="4"/>
        <v>0</v>
      </c>
      <c r="O23" s="3">
        <f t="shared" si="11"/>
        <v>767395.05377477326</v>
      </c>
    </row>
    <row r="24" spans="1:15" x14ac:dyDescent="0.25">
      <c r="A24">
        <f>'hours (1)'!A24</f>
        <v>13</v>
      </c>
      <c r="B24">
        <f>'hours (1)'!B24</f>
        <v>107451.2</v>
      </c>
      <c r="C24" s="6">
        <f t="shared" si="5"/>
        <v>1.983749809554209E-2</v>
      </c>
      <c r="D24" s="6">
        <f t="shared" si="12"/>
        <v>4.8494586514994456E-3</v>
      </c>
      <c r="E24" s="9">
        <f t="shared" si="6"/>
        <v>11.19442501958761</v>
      </c>
      <c r="F24" s="7">
        <f t="shared" si="0"/>
        <v>12.759469070866002</v>
      </c>
      <c r="G24" s="7">
        <f t="shared" si="7"/>
        <v>13.30106796777963</v>
      </c>
      <c r="H24" s="7">
        <f t="shared" si="8"/>
        <v>0.68971376826856357</v>
      </c>
      <c r="I24" s="7">
        <f t="shared" si="9"/>
        <v>1.5674465352767089</v>
      </c>
      <c r="J24" t="b">
        <f t="shared" si="1"/>
        <v>1</v>
      </c>
      <c r="K24" s="7">
        <f t="shared" si="2"/>
        <v>12.759469070866002</v>
      </c>
      <c r="L24" s="7">
        <f t="shared" si="10"/>
        <v>-0.24053092913399787</v>
      </c>
      <c r="M24">
        <f t="shared" si="3"/>
        <v>0</v>
      </c>
      <c r="N24">
        <f t="shared" si="4"/>
        <v>0</v>
      </c>
      <c r="O24" s="3">
        <f t="shared" si="11"/>
        <v>109476.78091006906</v>
      </c>
    </row>
    <row r="25" spans="1:15" x14ac:dyDescent="0.25">
      <c r="A25">
        <f>'hours (1)'!A25</f>
        <v>14</v>
      </c>
      <c r="B25">
        <f>'hours (1)'!B25</f>
        <v>133373.20000000001</v>
      </c>
      <c r="C25" s="6">
        <f t="shared" si="5"/>
        <v>2.0816678883440631E-2</v>
      </c>
      <c r="D25" s="6">
        <f t="shared" si="12"/>
        <v>5.107421626996878E-3</v>
      </c>
      <c r="E25" s="9">
        <f t="shared" si="6"/>
        <v>12.19442501958761</v>
      </c>
      <c r="F25" s="7">
        <f t="shared" si="0"/>
        <v>13.759469070866002</v>
      </c>
      <c r="G25" s="7">
        <f t="shared" si="7"/>
        <v>14.30106796777963</v>
      </c>
      <c r="H25" s="7">
        <f t="shared" si="8"/>
        <v>0.63742134339078749</v>
      </c>
      <c r="I25" s="7">
        <f t="shared" si="9"/>
        <v>1.3631255960598205</v>
      </c>
      <c r="J25" t="b">
        <f t="shared" si="1"/>
        <v>1</v>
      </c>
      <c r="K25" s="7">
        <f t="shared" si="2"/>
        <v>13.759469070866002</v>
      </c>
      <c r="L25" s="7">
        <f t="shared" si="10"/>
        <v>-0.24053092913399787</v>
      </c>
      <c r="M25">
        <f t="shared" si="3"/>
        <v>0</v>
      </c>
      <c r="N25">
        <f t="shared" si="4"/>
        <v>0</v>
      </c>
      <c r="O25" s="3">
        <f t="shared" si="11"/>
        <v>135704.71290593772</v>
      </c>
    </row>
    <row r="26" spans="1:15" x14ac:dyDescent="0.25">
      <c r="A26">
        <f>'hours (1)'!A26</f>
        <v>15</v>
      </c>
      <c r="B26">
        <f>'hours (1)'!B26</f>
        <v>1595177</v>
      </c>
      <c r="C26" s="6">
        <f t="shared" si="5"/>
        <v>3.2527927257908908E-2</v>
      </c>
      <c r="D26" s="6">
        <f t="shared" si="12"/>
        <v>5.4522471172448999E-3</v>
      </c>
      <c r="E26" s="9">
        <f t="shared" si="6"/>
        <v>13.19442501958761</v>
      </c>
      <c r="F26" s="7">
        <f t="shared" si="0"/>
        <v>14.759469070866002</v>
      </c>
      <c r="G26" s="7">
        <f t="shared" si="7"/>
        <v>15.30106796777963</v>
      </c>
      <c r="H26" s="7">
        <f t="shared" si="8"/>
        <v>0.59251293760098744</v>
      </c>
      <c r="I26" s="7">
        <f t="shared" si="9"/>
        <v>1.1857945837956378</v>
      </c>
      <c r="J26" t="b">
        <f t="shared" si="1"/>
        <v>1</v>
      </c>
      <c r="K26" s="7">
        <f t="shared" si="2"/>
        <v>14.759469070866002</v>
      </c>
      <c r="L26" s="7">
        <f t="shared" si="10"/>
        <v>-0.24053092913399787</v>
      </c>
      <c r="M26">
        <f t="shared" si="3"/>
        <v>0</v>
      </c>
      <c r="N26">
        <f t="shared" si="4"/>
        <v>0</v>
      </c>
      <c r="O26" s="3">
        <f t="shared" si="11"/>
        <v>1621173.1523074401</v>
      </c>
    </row>
    <row r="27" spans="1:15" x14ac:dyDescent="0.25">
      <c r="A27">
        <f>'hours (1)'!A27</f>
        <v>16</v>
      </c>
      <c r="B27">
        <f>'hours (1)'!B27</f>
        <v>717694.3</v>
      </c>
      <c r="C27" s="6">
        <f t="shared" si="5"/>
        <v>3.7796995332636758E-2</v>
      </c>
      <c r="D27" s="6">
        <f t="shared" si="12"/>
        <v>9.8710323464580828E-3</v>
      </c>
      <c r="E27" s="9">
        <f t="shared" si="6"/>
        <v>14.19442501958761</v>
      </c>
      <c r="F27" s="7">
        <f t="shared" si="0"/>
        <v>15.759469070866002</v>
      </c>
      <c r="G27" s="7">
        <f t="shared" si="7"/>
        <v>16.30106796777963</v>
      </c>
      <c r="H27" s="7">
        <f t="shared" si="8"/>
        <v>0.55352536759399062</v>
      </c>
      <c r="I27" s="7">
        <f t="shared" si="9"/>
        <v>1.0315060587351088</v>
      </c>
      <c r="J27" t="b">
        <f t="shared" si="1"/>
        <v>1</v>
      </c>
      <c r="K27" s="7">
        <f t="shared" si="2"/>
        <v>15.759469070866002</v>
      </c>
      <c r="L27" s="7">
        <f t="shared" si="10"/>
        <v>-0.24053092913399787</v>
      </c>
      <c r="M27">
        <f t="shared" si="3"/>
        <v>0</v>
      </c>
      <c r="N27">
        <f t="shared" si="4"/>
        <v>0</v>
      </c>
      <c r="O27" s="3">
        <f t="shared" si="11"/>
        <v>728648.20181210525</v>
      </c>
    </row>
    <row r="28" spans="1:15" x14ac:dyDescent="0.25">
      <c r="A28">
        <f>'hours (1)'!A28</f>
        <v>17</v>
      </c>
      <c r="B28">
        <f>'hours (1)'!B28</f>
        <v>121287.4</v>
      </c>
      <c r="C28" s="6">
        <f t="shared" si="5"/>
        <v>3.868744627701063E-2</v>
      </c>
      <c r="D28" s="6">
        <f t="shared" si="12"/>
        <v>1.1991649329229186E-2</v>
      </c>
      <c r="E28" s="9">
        <f t="shared" si="6"/>
        <v>15.19442501958761</v>
      </c>
      <c r="F28" s="7">
        <f t="shared" si="0"/>
        <v>16.759469070866004</v>
      </c>
      <c r="G28" s="7">
        <f t="shared" si="7"/>
        <v>17.301067967779634</v>
      </c>
      <c r="H28" s="7">
        <f t="shared" si="8"/>
        <v>0.51935858517314315</v>
      </c>
      <c r="I28" s="7">
        <f t="shared" si="9"/>
        <v>0.89711988408548815</v>
      </c>
      <c r="J28" t="b">
        <f t="shared" si="1"/>
        <v>1</v>
      </c>
      <c r="K28" s="7">
        <f t="shared" si="2"/>
        <v>16.759469070866004</v>
      </c>
      <c r="L28" s="7">
        <f t="shared" si="10"/>
        <v>-0.2405309291339961</v>
      </c>
      <c r="M28">
        <f t="shared" si="3"/>
        <v>0</v>
      </c>
      <c r="N28">
        <f t="shared" si="4"/>
        <v>0</v>
      </c>
      <c r="O28" s="3">
        <f t="shared" si="11"/>
        <v>123028.10973793318</v>
      </c>
    </row>
    <row r="29" spans="1:15" x14ac:dyDescent="0.25">
      <c r="A29">
        <f>'hours (1)'!A29</f>
        <v>18</v>
      </c>
      <c r="B29">
        <f>'hours (1)'!B29</f>
        <v>354843.3</v>
      </c>
      <c r="C29" s="6">
        <f t="shared" si="5"/>
        <v>4.1292585405969959E-2</v>
      </c>
      <c r="D29" s="6">
        <f t="shared" si="12"/>
        <v>1.2372423396615413E-2</v>
      </c>
      <c r="E29" s="9">
        <f t="shared" si="6"/>
        <v>16.194425019587609</v>
      </c>
      <c r="F29" s="7">
        <f t="shared" si="0"/>
        <v>17.759469070866004</v>
      </c>
      <c r="G29" s="7">
        <f t="shared" si="7"/>
        <v>18.301067967779634</v>
      </c>
      <c r="H29" s="7">
        <f t="shared" si="8"/>
        <v>0.48916947449015885</v>
      </c>
      <c r="I29" s="7">
        <f t="shared" si="9"/>
        <v>0.78009706708666715</v>
      </c>
      <c r="J29" t="b">
        <f t="shared" si="1"/>
        <v>1</v>
      </c>
      <c r="K29" s="7">
        <f t="shared" si="2"/>
        <v>17.759469070866004</v>
      </c>
      <c r="L29" s="7">
        <f t="shared" si="10"/>
        <v>-0.2405309291339961</v>
      </c>
      <c r="M29">
        <f t="shared" si="3"/>
        <v>0</v>
      </c>
      <c r="N29">
        <f t="shared" si="4"/>
        <v>0</v>
      </c>
      <c r="O29" s="3">
        <f t="shared" si="11"/>
        <v>359649.23132066027</v>
      </c>
    </row>
    <row r="30" spans="1:15" x14ac:dyDescent="0.25">
      <c r="A30">
        <f>'hours (1)'!A30</f>
        <v>19</v>
      </c>
      <c r="B30">
        <f>'hours (1)'!B30</f>
        <v>42924.36</v>
      </c>
      <c r="C30" s="6">
        <f t="shared" si="5"/>
        <v>4.1607721495115609E-2</v>
      </c>
      <c r="D30" s="6">
        <f t="shared" si="12"/>
        <v>1.3551961215472075E-2</v>
      </c>
      <c r="E30" s="9">
        <f t="shared" si="6"/>
        <v>17.194425019587609</v>
      </c>
      <c r="F30" s="7">
        <f t="shared" si="0"/>
        <v>18.759469070866004</v>
      </c>
      <c r="G30" s="7">
        <f t="shared" si="7"/>
        <v>19.301067967779634</v>
      </c>
      <c r="H30" s="7">
        <f t="shared" si="8"/>
        <v>0.46230089994885432</v>
      </c>
      <c r="I30" s="7">
        <f t="shared" si="9"/>
        <v>0.6783554771945155</v>
      </c>
      <c r="J30" t="b">
        <f t="shared" si="1"/>
        <v>1</v>
      </c>
      <c r="K30" s="7">
        <f t="shared" si="2"/>
        <v>18.759469070866004</v>
      </c>
      <c r="L30" s="7">
        <f t="shared" si="10"/>
        <v>-0.2405309291339961</v>
      </c>
      <c r="M30">
        <f t="shared" si="3"/>
        <v>0</v>
      </c>
      <c r="N30">
        <f t="shared" si="4"/>
        <v>0</v>
      </c>
      <c r="O30" s="3">
        <f t="shared" si="11"/>
        <v>43474.729317717873</v>
      </c>
    </row>
    <row r="31" spans="1:15" x14ac:dyDescent="0.25">
      <c r="A31">
        <f>'hours (1)'!A31</f>
        <v>20</v>
      </c>
      <c r="B31">
        <f>'hours (1)'!B31</f>
        <v>5215875</v>
      </c>
      <c r="C31" s="6">
        <f t="shared" si="5"/>
        <v>7.9900906273469186E-2</v>
      </c>
      <c r="D31" s="6">
        <f t="shared" si="12"/>
        <v>1.3702573426776825E-2</v>
      </c>
      <c r="E31" s="9">
        <f t="shared" si="6"/>
        <v>18.194425019587609</v>
      </c>
      <c r="F31" s="7">
        <f t="shared" si="0"/>
        <v>19.759469070866004</v>
      </c>
      <c r="G31" s="7">
        <f t="shared" si="7"/>
        <v>20.301067967779634</v>
      </c>
      <c r="H31" s="7">
        <f t="shared" si="8"/>
        <v>0.43823305744519547</v>
      </c>
      <c r="I31" s="7">
        <f t="shared" si="9"/>
        <v>0.59016641150910587</v>
      </c>
      <c r="J31" t="b">
        <f t="shared" si="1"/>
        <v>1</v>
      </c>
      <c r="K31" s="7">
        <f t="shared" si="2"/>
        <v>19.759469070866004</v>
      </c>
      <c r="L31" s="7">
        <f t="shared" si="10"/>
        <v>-0.2405309291339961</v>
      </c>
      <c r="M31">
        <f t="shared" si="3"/>
        <v>0</v>
      </c>
      <c r="N31">
        <f t="shared" si="4"/>
        <v>0</v>
      </c>
      <c r="O31" s="3">
        <f t="shared" si="11"/>
        <v>5279367.5592128672</v>
      </c>
    </row>
    <row r="32" spans="1:15" x14ac:dyDescent="0.25">
      <c r="A32">
        <f>'hours (1)'!A32</f>
        <v>21</v>
      </c>
      <c r="B32">
        <f>'hours (1)'!B32</f>
        <v>149887.70000000001</v>
      </c>
      <c r="C32" s="6">
        <f t="shared" si="5"/>
        <v>8.1001330917867764E-2</v>
      </c>
      <c r="D32" s="6">
        <f t="shared" si="12"/>
        <v>3.2967170318885394E-2</v>
      </c>
      <c r="E32" s="9">
        <f t="shared" si="6"/>
        <v>19.194425019587609</v>
      </c>
      <c r="F32" s="7">
        <f t="shared" si="0"/>
        <v>20.759469070866004</v>
      </c>
      <c r="G32" s="7">
        <f t="shared" si="7"/>
        <v>21.301067967779634</v>
      </c>
      <c r="H32" s="7">
        <f t="shared" si="8"/>
        <v>0.41654934993557236</v>
      </c>
      <c r="I32" s="7">
        <f t="shared" si="9"/>
        <v>0.51407887097555927</v>
      </c>
      <c r="J32" t="b">
        <f t="shared" si="1"/>
        <v>1</v>
      </c>
      <c r="K32" s="7">
        <f t="shared" si="2"/>
        <v>20.759469070866004</v>
      </c>
      <c r="L32" s="7">
        <f t="shared" si="10"/>
        <v>-0.2405309291339961</v>
      </c>
      <c r="M32">
        <f t="shared" si="3"/>
        <v>0</v>
      </c>
      <c r="N32">
        <f t="shared" si="4"/>
        <v>0</v>
      </c>
      <c r="O32" s="3">
        <f t="shared" si="11"/>
        <v>151624.38351650449</v>
      </c>
    </row>
    <row r="33" spans="1:15" x14ac:dyDescent="0.25">
      <c r="A33">
        <f>'hours (1)'!A33</f>
        <v>22</v>
      </c>
      <c r="B33">
        <f>'hours (1)'!B33</f>
        <v>168577.1</v>
      </c>
      <c r="C33" s="6">
        <f t="shared" si="5"/>
        <v>8.2238966796737367E-2</v>
      </c>
      <c r="D33" s="6">
        <f t="shared" si="12"/>
        <v>3.3548453885988629E-2</v>
      </c>
      <c r="E33" s="9">
        <f t="shared" si="6"/>
        <v>20.194425019587609</v>
      </c>
      <c r="F33" s="7">
        <f t="shared" si="0"/>
        <v>21.759469070866004</v>
      </c>
      <c r="G33" s="7">
        <f t="shared" si="7"/>
        <v>22.301067967779634</v>
      </c>
      <c r="H33" s="7">
        <f t="shared" si="8"/>
        <v>0.39691196426134734</v>
      </c>
      <c r="I33" s="7">
        <f t="shared" si="9"/>
        <v>0.44886308994273727</v>
      </c>
      <c r="J33" t="b">
        <f t="shared" si="1"/>
        <v>1</v>
      </c>
      <c r="K33" s="7">
        <f t="shared" si="2"/>
        <v>21.759469070866004</v>
      </c>
      <c r="L33" s="7">
        <f t="shared" si="10"/>
        <v>-0.2405309291339961</v>
      </c>
      <c r="M33">
        <f t="shared" si="3"/>
        <v>0</v>
      </c>
      <c r="N33">
        <f t="shared" si="4"/>
        <v>0</v>
      </c>
      <c r="O33" s="3">
        <f t="shared" si="11"/>
        <v>170440.56488334152</v>
      </c>
    </row>
    <row r="34" spans="1:15" x14ac:dyDescent="0.25">
      <c r="A34">
        <f>'hours (1)'!A34</f>
        <v>23</v>
      </c>
      <c r="B34">
        <f>'hours (1)'!B34</f>
        <v>157785.9</v>
      </c>
      <c r="C34" s="6">
        <f t="shared" si="5"/>
        <v>8.3397377346092719E-2</v>
      </c>
      <c r="D34" s="6">
        <f t="shared" si="12"/>
        <v>3.4233348915952873E-2</v>
      </c>
      <c r="E34" s="9">
        <f t="shared" si="6"/>
        <v>21.194425019587609</v>
      </c>
      <c r="F34" s="7">
        <f t="shared" si="0"/>
        <v>22.759469070866004</v>
      </c>
      <c r="G34" s="7">
        <f t="shared" si="7"/>
        <v>23.301067967779634</v>
      </c>
      <c r="H34" s="7">
        <f t="shared" si="8"/>
        <v>0.37904407490936609</v>
      </c>
      <c r="I34" s="7">
        <f t="shared" si="9"/>
        <v>0.39346772788511153</v>
      </c>
      <c r="J34" t="b">
        <f t="shared" si="1"/>
        <v>1</v>
      </c>
      <c r="K34" s="7">
        <f t="shared" si="2"/>
        <v>22.759469070866004</v>
      </c>
      <c r="L34" s="7">
        <f t="shared" si="10"/>
        <v>-0.2405309291339961</v>
      </c>
      <c r="M34">
        <f t="shared" si="3"/>
        <v>0</v>
      </c>
      <c r="N34">
        <f t="shared" si="4"/>
        <v>0</v>
      </c>
      <c r="O34" s="3">
        <f t="shared" si="11"/>
        <v>159453.44281539132</v>
      </c>
    </row>
    <row r="35" spans="1:15" x14ac:dyDescent="0.25">
      <c r="A35">
        <f>'hours (1)'!A35</f>
        <v>24</v>
      </c>
      <c r="B35">
        <f>'hours (1)'!B35</f>
        <v>1366080</v>
      </c>
      <c r="C35" s="6">
        <f t="shared" si="5"/>
        <v>9.3426673267105631E-2</v>
      </c>
      <c r="D35" s="6">
        <f t="shared" si="12"/>
        <v>3.4903540211291113E-2</v>
      </c>
      <c r="E35" s="9">
        <f t="shared" si="6"/>
        <v>22.194425019587609</v>
      </c>
      <c r="F35" s="7">
        <f t="shared" si="0"/>
        <v>23.759469070866004</v>
      </c>
      <c r="G35" s="7">
        <f t="shared" si="7"/>
        <v>24.301067967779634</v>
      </c>
      <c r="H35" s="7">
        <f t="shared" si="8"/>
        <v>0.36271666629958199</v>
      </c>
      <c r="I35" s="7">
        <f t="shared" si="9"/>
        <v>0.34698693926271806</v>
      </c>
      <c r="J35" t="b">
        <f t="shared" si="1"/>
        <v>1</v>
      </c>
      <c r="K35" s="7">
        <f t="shared" si="2"/>
        <v>23.759469070866004</v>
      </c>
      <c r="L35" s="7">
        <f t="shared" si="10"/>
        <v>-0.2405309291339961</v>
      </c>
      <c r="M35">
        <f t="shared" si="3"/>
        <v>0</v>
      </c>
      <c r="N35">
        <f t="shared" si="4"/>
        <v>0</v>
      </c>
      <c r="O35" s="3">
        <f t="shared" si="11"/>
        <v>1379909.6226523968</v>
      </c>
    </row>
    <row r="36" spans="1:15" x14ac:dyDescent="0.25">
      <c r="A36">
        <f>'hours (1)'!A36</f>
        <v>25</v>
      </c>
      <c r="B36">
        <f>'hours (1)'!B36</f>
        <v>2788093</v>
      </c>
      <c r="C36" s="6">
        <f t="shared" si="5"/>
        <v>0.11389590622001078</v>
      </c>
      <c r="D36" s="6">
        <f t="shared" si="12"/>
        <v>4.095820536849791E-2</v>
      </c>
      <c r="E36" s="9">
        <f t="shared" si="6"/>
        <v>23.194425019587609</v>
      </c>
      <c r="F36" s="7">
        <f t="shared" si="0"/>
        <v>24.759469070866004</v>
      </c>
      <c r="G36" s="7">
        <f t="shared" si="7"/>
        <v>25.301067967779634</v>
      </c>
      <c r="H36" s="7">
        <f t="shared" si="8"/>
        <v>0.34773863236892699</v>
      </c>
      <c r="I36" s="7">
        <f t="shared" si="9"/>
        <v>0.30863470647216162</v>
      </c>
      <c r="J36" t="b">
        <f t="shared" si="1"/>
        <v>1</v>
      </c>
      <c r="K36" s="7">
        <f t="shared" si="2"/>
        <v>24.759469070866004</v>
      </c>
      <c r="L36" s="7">
        <f t="shared" si="10"/>
        <v>-0.2405309291339961</v>
      </c>
      <c r="M36">
        <f t="shared" si="3"/>
        <v>0</v>
      </c>
      <c r="N36">
        <f t="shared" si="4"/>
        <v>0</v>
      </c>
      <c r="O36" s="3">
        <f t="shared" si="11"/>
        <v>2815178.500011432</v>
      </c>
    </row>
    <row r="37" spans="1:15" x14ac:dyDescent="0.25">
      <c r="A37">
        <f>'hours (1)'!A37</f>
        <v>26</v>
      </c>
      <c r="B37">
        <f>'hours (1)'!B37</f>
        <v>130005</v>
      </c>
      <c r="C37" s="6">
        <f t="shared" si="5"/>
        <v>0.11485035882616217</v>
      </c>
      <c r="D37" s="6">
        <f t="shared" si="12"/>
        <v>5.3830323599549666E-2</v>
      </c>
      <c r="E37" s="9">
        <f t="shared" si="6"/>
        <v>24.194425019587609</v>
      </c>
      <c r="F37" s="7">
        <f t="shared" si="0"/>
        <v>25.759469070866004</v>
      </c>
      <c r="G37" s="7">
        <f t="shared" si="7"/>
        <v>26.301067967779634</v>
      </c>
      <c r="H37" s="7">
        <f t="shared" si="8"/>
        <v>0.33394923986982994</v>
      </c>
      <c r="I37" s="7">
        <f t="shared" si="9"/>
        <v>0.27772459449017384</v>
      </c>
      <c r="J37" t="b">
        <f t="shared" si="1"/>
        <v>1</v>
      </c>
      <c r="K37" s="7">
        <f t="shared" si="2"/>
        <v>25.759469070866004</v>
      </c>
      <c r="L37" s="7">
        <f t="shared" si="10"/>
        <v>-0.2405309291339961</v>
      </c>
      <c r="M37">
        <f t="shared" si="3"/>
        <v>0</v>
      </c>
      <c r="N37">
        <f t="shared" si="4"/>
        <v>0</v>
      </c>
      <c r="O37" s="3">
        <f t="shared" si="11"/>
        <v>131218.93120937541</v>
      </c>
    </row>
    <row r="38" spans="1:15" x14ac:dyDescent="0.25">
      <c r="A38">
        <f>'hours (1)'!A38</f>
        <v>27</v>
      </c>
      <c r="B38">
        <f>'hours (1)'!B38</f>
        <v>157068.9</v>
      </c>
      <c r="C38" s="6">
        <f t="shared" si="5"/>
        <v>0.11600350540475785</v>
      </c>
      <c r="D38" s="6">
        <f t="shared" si="12"/>
        <v>5.445454141432593E-2</v>
      </c>
      <c r="E38" s="9">
        <f t="shared" si="6"/>
        <v>25.194425019587609</v>
      </c>
      <c r="F38" s="7">
        <f t="shared" si="0"/>
        <v>26.759469070866004</v>
      </c>
      <c r="G38" s="7">
        <f t="shared" si="7"/>
        <v>27.301067967779634</v>
      </c>
      <c r="H38" s="7">
        <f t="shared" si="8"/>
        <v>0.32121232185416754</v>
      </c>
      <c r="I38" s="7">
        <f t="shared" si="9"/>
        <v>0.25365360845541074</v>
      </c>
      <c r="J38" t="b">
        <f t="shared" si="1"/>
        <v>1</v>
      </c>
      <c r="K38" s="7">
        <f t="shared" si="2"/>
        <v>26.759469070866004</v>
      </c>
      <c r="L38" s="7">
        <f t="shared" si="10"/>
        <v>-0.2405309291339961</v>
      </c>
      <c r="M38">
        <f t="shared" si="3"/>
        <v>0</v>
      </c>
      <c r="N38">
        <f t="shared" si="4"/>
        <v>0</v>
      </c>
      <c r="O38" s="3">
        <f t="shared" si="11"/>
        <v>158480.73400743128</v>
      </c>
    </row>
    <row r="39" spans="1:15" x14ac:dyDescent="0.25">
      <c r="A39">
        <f>'hours (1)'!A39</f>
        <v>28</v>
      </c>
      <c r="B39">
        <f>'hours (1)'!B39</f>
        <v>448118</v>
      </c>
      <c r="C39" s="6">
        <f t="shared" si="5"/>
        <v>0.11929343573792461</v>
      </c>
      <c r="D39" s="6">
        <f t="shared" si="12"/>
        <v>5.5237712638284003E-2</v>
      </c>
      <c r="E39" s="9">
        <f t="shared" si="6"/>
        <v>26.194425019587609</v>
      </c>
      <c r="F39" s="7">
        <f t="shared" si="0"/>
        <v>27.759469070866004</v>
      </c>
      <c r="G39" s="7">
        <f t="shared" si="7"/>
        <v>28.301067967779634</v>
      </c>
      <c r="H39" s="7">
        <f t="shared" si="8"/>
        <v>0.30941175480579292</v>
      </c>
      <c r="I39" s="7">
        <f t="shared" si="9"/>
        <v>0.23588919513027079</v>
      </c>
      <c r="J39" t="b">
        <f t="shared" si="1"/>
        <v>1</v>
      </c>
      <c r="K39" s="7">
        <f t="shared" si="2"/>
        <v>27.759469070866004</v>
      </c>
      <c r="L39" s="7">
        <f t="shared" si="10"/>
        <v>-0.2405309291339961</v>
      </c>
      <c r="M39">
        <f t="shared" si="3"/>
        <v>0</v>
      </c>
      <c r="N39">
        <f t="shared" si="4"/>
        <v>0</v>
      </c>
      <c r="O39" s="3">
        <f t="shared" si="11"/>
        <v>452000.86384824238</v>
      </c>
    </row>
    <row r="40" spans="1:15" x14ac:dyDescent="0.25">
      <c r="A40">
        <f>'hours (1)'!A40</f>
        <v>29</v>
      </c>
      <c r="B40">
        <f>'hours (1)'!B40</f>
        <v>69923.070000000007</v>
      </c>
      <c r="C40" s="6">
        <f t="shared" si="5"/>
        <v>0.1198067871966501</v>
      </c>
      <c r="D40" s="6">
        <f t="shared" si="12"/>
        <v>5.7554857447570475E-2</v>
      </c>
      <c r="E40" s="9">
        <f t="shared" si="6"/>
        <v>27.194425019587609</v>
      </c>
      <c r="F40" s="7">
        <f t="shared" si="0"/>
        <v>28.759469070866004</v>
      </c>
      <c r="G40" s="7">
        <f t="shared" si="7"/>
        <v>29.301067967779634</v>
      </c>
      <c r="H40" s="7">
        <f t="shared" si="8"/>
        <v>0.29844789996771498</v>
      </c>
      <c r="I40" s="7">
        <f t="shared" si="9"/>
        <v>0.22395868094893112</v>
      </c>
      <c r="J40" t="b">
        <f t="shared" si="1"/>
        <v>1</v>
      </c>
      <c r="K40" s="7">
        <f t="shared" si="2"/>
        <v>28.759469070866004</v>
      </c>
      <c r="L40" s="7">
        <f t="shared" si="10"/>
        <v>-0.2405309291339961</v>
      </c>
      <c r="M40">
        <f t="shared" si="3"/>
        <v>0</v>
      </c>
      <c r="N40">
        <f t="shared" si="4"/>
        <v>0</v>
      </c>
      <c r="O40" s="3">
        <f t="shared" si="11"/>
        <v>70507.874293624438</v>
      </c>
    </row>
    <row r="41" spans="1:15" x14ac:dyDescent="0.25">
      <c r="A41">
        <f>'hours (1)'!A41</f>
        <v>30</v>
      </c>
      <c r="B41">
        <f>'hours (1)'!B41</f>
        <v>4735767</v>
      </c>
      <c r="C41" s="6">
        <f t="shared" si="5"/>
        <v>0.15457518191435884</v>
      </c>
      <c r="D41" s="6">
        <f t="shared" si="12"/>
        <v>5.7929331078104683E-2</v>
      </c>
      <c r="E41" s="9">
        <f t="shared" si="6"/>
        <v>28.194425019587609</v>
      </c>
      <c r="F41" s="7">
        <f t="shared" si="0"/>
        <v>29.759469070866004</v>
      </c>
      <c r="G41" s="7">
        <f t="shared" si="7"/>
        <v>30.301067967779634</v>
      </c>
      <c r="H41" s="7">
        <f t="shared" si="8"/>
        <v>0.28823477718581825</v>
      </c>
      <c r="I41" s="7">
        <f t="shared" si="9"/>
        <v>0.21744061831169981</v>
      </c>
      <c r="J41" t="b">
        <f t="shared" si="1"/>
        <v>0</v>
      </c>
      <c r="K41" s="7">
        <f t="shared" si="2"/>
        <v>29</v>
      </c>
      <c r="L41" s="7">
        <f t="shared" si="10"/>
        <v>-1</v>
      </c>
      <c r="M41">
        <f t="shared" si="3"/>
        <v>0</v>
      </c>
      <c r="N41">
        <f t="shared" si="4"/>
        <v>0</v>
      </c>
      <c r="O41" s="3">
        <f t="shared" si="11"/>
        <v>4899069.3103448274</v>
      </c>
    </row>
    <row r="42" spans="1:15" x14ac:dyDescent="0.25">
      <c r="A42">
        <f>'hours (1)'!A42</f>
        <v>31</v>
      </c>
      <c r="B42">
        <f>'hours (1)'!B42</f>
        <v>44161.75</v>
      </c>
      <c r="C42" s="6">
        <f t="shared" si="5"/>
        <v>0.15489940250110323</v>
      </c>
      <c r="D42" s="6">
        <f t="shared" si="12"/>
        <v>8.4166340850180404E-2</v>
      </c>
      <c r="E42" s="9">
        <f t="shared" si="6"/>
        <v>29.194425019587609</v>
      </c>
      <c r="F42" s="7">
        <f t="shared" si="0"/>
        <v>30.759469070866004</v>
      </c>
      <c r="G42" s="7">
        <f t="shared" si="7"/>
        <v>31.301067967779634</v>
      </c>
      <c r="H42" s="7">
        <f t="shared" si="8"/>
        <v>0.27869780112464415</v>
      </c>
      <c r="I42" s="7">
        <f t="shared" si="9"/>
        <v>0.21595764079403901</v>
      </c>
      <c r="J42" t="b">
        <f t="shared" si="1"/>
        <v>0</v>
      </c>
      <c r="K42" s="7">
        <f t="shared" si="2"/>
        <v>29</v>
      </c>
      <c r="L42" s="7">
        <f t="shared" si="10"/>
        <v>-2</v>
      </c>
      <c r="M42">
        <f t="shared" si="3"/>
        <v>0</v>
      </c>
      <c r="N42">
        <f t="shared" si="4"/>
        <v>0</v>
      </c>
      <c r="O42" s="3">
        <f t="shared" si="11"/>
        <v>47207.387931034486</v>
      </c>
    </row>
    <row r="43" spans="1:15" x14ac:dyDescent="0.25">
      <c r="A43">
        <f>'hours (1)'!A43</f>
        <v>32</v>
      </c>
      <c r="B43">
        <f>'hours (1)'!B43</f>
        <v>1921819</v>
      </c>
      <c r="C43" s="6">
        <f t="shared" si="5"/>
        <v>0.16900874562714646</v>
      </c>
      <c r="D43" s="6">
        <f t="shared" si="12"/>
        <v>8.4419160441004587E-2</v>
      </c>
      <c r="E43" s="9">
        <f t="shared" si="6"/>
        <v>30.194425019587609</v>
      </c>
      <c r="F43" s="7">
        <f t="shared" si="0"/>
        <v>31.759469070866004</v>
      </c>
      <c r="G43" s="7">
        <f t="shared" si="7"/>
        <v>32.30106796777963</v>
      </c>
      <c r="H43" s="7">
        <f t="shared" si="8"/>
        <v>0.26977195344234561</v>
      </c>
      <c r="I43" s="7">
        <f t="shared" si="9"/>
        <v>0.21917052215615146</v>
      </c>
      <c r="J43" t="b">
        <f t="shared" si="1"/>
        <v>0</v>
      </c>
      <c r="K43" s="7">
        <f t="shared" si="2"/>
        <v>29</v>
      </c>
      <c r="L43" s="7">
        <f t="shared" si="10"/>
        <v>-3</v>
      </c>
      <c r="M43">
        <f t="shared" si="3"/>
        <v>0</v>
      </c>
      <c r="N43">
        <f t="shared" si="4"/>
        <v>0</v>
      </c>
      <c r="O43" s="3">
        <f t="shared" si="11"/>
        <v>2120627.8620689656</v>
      </c>
    </row>
    <row r="44" spans="1:15" x14ac:dyDescent="0.25">
      <c r="A44">
        <f>'hours (1)'!A44</f>
        <v>33</v>
      </c>
      <c r="B44">
        <f>'hours (1)'!B44</f>
        <v>149202.29999999999</v>
      </c>
      <c r="C44" s="6">
        <f t="shared" si="5"/>
        <v>0.17010413829726515</v>
      </c>
      <c r="D44" s="6">
        <f t="shared" si="12"/>
        <v>9.5776202037161001E-2</v>
      </c>
      <c r="E44" s="9">
        <f t="shared" si="6"/>
        <v>31.194425019587609</v>
      </c>
      <c r="F44" s="7">
        <f t="shared" si="0"/>
        <v>32.759469070866004</v>
      </c>
      <c r="G44" s="7">
        <f t="shared" si="7"/>
        <v>33.30106796777963</v>
      </c>
      <c r="H44" s="7">
        <f t="shared" si="8"/>
        <v>0.26140029598772213</v>
      </c>
      <c r="I44" s="7">
        <f t="shared" si="9"/>
        <v>0.22677320367760317</v>
      </c>
      <c r="J44" t="b">
        <f t="shared" si="1"/>
        <v>0</v>
      </c>
      <c r="K44" s="7">
        <f t="shared" si="2"/>
        <v>29</v>
      </c>
      <c r="L44" s="7">
        <f t="shared" si="10"/>
        <v>-4</v>
      </c>
      <c r="M44">
        <f t="shared" si="3"/>
        <v>0</v>
      </c>
      <c r="N44">
        <f t="shared" si="4"/>
        <v>0</v>
      </c>
      <c r="O44" s="3">
        <f t="shared" si="11"/>
        <v>169781.92758620688</v>
      </c>
    </row>
    <row r="45" spans="1:15" x14ac:dyDescent="0.25">
      <c r="A45">
        <f>'hours (1)'!A45</f>
        <v>34</v>
      </c>
      <c r="B45">
        <f>'hours (1)'!B45</f>
        <v>198350.5</v>
      </c>
      <c r="C45" s="6">
        <f t="shared" si="5"/>
        <v>0.1715603603783884</v>
      </c>
      <c r="D45" s="6">
        <f t="shared" si="12"/>
        <v>9.6685470678001609E-2</v>
      </c>
      <c r="E45" s="9">
        <f t="shared" si="6"/>
        <v>32.194425019587612</v>
      </c>
      <c r="F45" s="7">
        <f t="shared" si="0"/>
        <v>33.759469070866004</v>
      </c>
      <c r="G45" s="7">
        <f t="shared" si="7"/>
        <v>34.30106796777963</v>
      </c>
      <c r="H45" s="7">
        <f t="shared" si="8"/>
        <v>0.25353275300443723</v>
      </c>
      <c r="I45" s="7">
        <f t="shared" si="9"/>
        <v>0.23848860638739061</v>
      </c>
      <c r="J45" t="b">
        <f t="shared" si="1"/>
        <v>0</v>
      </c>
      <c r="K45" s="7">
        <f t="shared" si="2"/>
        <v>29</v>
      </c>
      <c r="L45" s="7">
        <f t="shared" si="10"/>
        <v>-5</v>
      </c>
      <c r="M45">
        <f t="shared" si="3"/>
        <v>0</v>
      </c>
      <c r="N45">
        <f t="shared" si="4"/>
        <v>0</v>
      </c>
      <c r="O45" s="3">
        <f t="shared" si="11"/>
        <v>232548.86206896551</v>
      </c>
    </row>
    <row r="46" spans="1:15" x14ac:dyDescent="0.25">
      <c r="A46">
        <f>'hours (1)'!A46</f>
        <v>35</v>
      </c>
      <c r="B46">
        <f>'hours (1)'!B46</f>
        <v>5915070</v>
      </c>
      <c r="C46" s="6">
        <f t="shared" si="5"/>
        <v>0.21498679764670786</v>
      </c>
      <c r="D46" s="6">
        <f t="shared" si="12"/>
        <v>9.7930888201224822E-2</v>
      </c>
      <c r="E46" s="9">
        <f t="shared" si="6"/>
        <v>33.194425019587612</v>
      </c>
      <c r="F46" s="7">
        <f t="shared" si="0"/>
        <v>34.759469070866004</v>
      </c>
      <c r="G46" s="7">
        <f t="shared" si="7"/>
        <v>35.30106796777963</v>
      </c>
      <c r="H46" s="7">
        <f t="shared" si="8"/>
        <v>0.24612510720398889</v>
      </c>
      <c r="I46" s="7">
        <f t="shared" si="9"/>
        <v>0.2540650840604638</v>
      </c>
      <c r="J46" t="b">
        <f t="shared" si="1"/>
        <v>0</v>
      </c>
      <c r="K46" s="7">
        <f t="shared" si="2"/>
        <v>35.30106796777963</v>
      </c>
      <c r="L46" s="7">
        <f t="shared" si="10"/>
        <v>0.30106796777963041</v>
      </c>
      <c r="M46">
        <f t="shared" si="3"/>
        <v>1</v>
      </c>
      <c r="N46">
        <f t="shared" si="4"/>
        <v>1</v>
      </c>
      <c r="O46" s="3">
        <f t="shared" si="11"/>
        <v>5864622.8547238382</v>
      </c>
    </row>
    <row r="47" spans="1:15" x14ac:dyDescent="0.25">
      <c r="A47">
        <f>'hours (1)'!A47</f>
        <v>36</v>
      </c>
      <c r="B47">
        <f>'hours (1)'!B47</f>
        <v>1647393</v>
      </c>
      <c r="C47" s="6">
        <f t="shared" si="5"/>
        <v>0.22708139817903777</v>
      </c>
      <c r="D47" s="6">
        <f t="shared" si="12"/>
        <v>0.13616321134787962</v>
      </c>
      <c r="E47" s="9">
        <f t="shared" si="6"/>
        <v>34.194425019587612</v>
      </c>
      <c r="F47" s="7">
        <f t="shared" si="0"/>
        <v>35.759469070866004</v>
      </c>
      <c r="G47" s="7">
        <f t="shared" si="7"/>
        <v>36.30106796777963</v>
      </c>
      <c r="H47" s="7">
        <f t="shared" si="8"/>
        <v>0.23913816712153835</v>
      </c>
      <c r="I47" s="7">
        <f t="shared" si="9"/>
        <v>0.27327340281412349</v>
      </c>
      <c r="J47" t="b">
        <f t="shared" si="1"/>
        <v>0</v>
      </c>
      <c r="K47" s="7">
        <f t="shared" si="2"/>
        <v>36.30106796777963</v>
      </c>
      <c r="L47" s="7">
        <f t="shared" si="10"/>
        <v>0.30106796777963041</v>
      </c>
      <c r="M47">
        <f t="shared" si="3"/>
        <v>1</v>
      </c>
      <c r="N47">
        <f t="shared" si="4"/>
        <v>1</v>
      </c>
      <c r="O47" s="3">
        <f t="shared" si="11"/>
        <v>1633730.1164979329</v>
      </c>
    </row>
    <row r="48" spans="1:15" x14ac:dyDescent="0.25">
      <c r="A48">
        <f>'hours (1)'!A48</f>
        <v>37</v>
      </c>
      <c r="B48">
        <f>'hours (1)'!B48</f>
        <v>822001.4</v>
      </c>
      <c r="C48" s="6">
        <f t="shared" si="5"/>
        <v>0.23311625359606086</v>
      </c>
      <c r="D48" s="6">
        <f t="shared" si="12"/>
        <v>0.14711543925253351</v>
      </c>
      <c r="E48" s="9">
        <f t="shared" si="6"/>
        <v>35.194425019587612</v>
      </c>
      <c r="F48" s="7">
        <f t="shared" si="0"/>
        <v>36.759469070866004</v>
      </c>
      <c r="G48" s="7">
        <f t="shared" si="7"/>
        <v>37.30106796777963</v>
      </c>
      <c r="H48" s="7">
        <f t="shared" si="8"/>
        <v>0.23253707259440604</v>
      </c>
      <c r="I48" s="7">
        <f t="shared" si="9"/>
        <v>0.29590415618644184</v>
      </c>
      <c r="J48" t="b">
        <f t="shared" si="1"/>
        <v>0</v>
      </c>
      <c r="K48" s="7">
        <f t="shared" si="2"/>
        <v>37.30106796777963</v>
      </c>
      <c r="L48" s="7">
        <f t="shared" si="10"/>
        <v>0.30106796777963041</v>
      </c>
      <c r="M48">
        <f t="shared" si="3"/>
        <v>1</v>
      </c>
      <c r="N48">
        <f t="shared" si="4"/>
        <v>1</v>
      </c>
      <c r="O48" s="3">
        <f t="shared" si="11"/>
        <v>815366.78323182114</v>
      </c>
    </row>
    <row r="49" spans="1:15" x14ac:dyDescent="0.25">
      <c r="A49">
        <f>'hours (1)'!A49</f>
        <v>38</v>
      </c>
      <c r="B49">
        <f>'hours (1)'!B49</f>
        <v>1667259</v>
      </c>
      <c r="C49" s="6">
        <f t="shared" si="5"/>
        <v>0.24535670356090339</v>
      </c>
      <c r="D49" s="6">
        <f t="shared" si="12"/>
        <v>0.15273208504813549</v>
      </c>
      <c r="E49" s="9">
        <f t="shared" si="6"/>
        <v>36.194425019587612</v>
      </c>
      <c r="F49" s="7">
        <f t="shared" si="0"/>
        <v>37.759469070866004</v>
      </c>
      <c r="G49" s="7">
        <f t="shared" si="7"/>
        <v>38.30106796777963</v>
      </c>
      <c r="H49" s="7">
        <f t="shared" si="8"/>
        <v>0.22629071234439629</v>
      </c>
      <c r="I49" s="7">
        <f t="shared" si="9"/>
        <v>0.32176554245828237</v>
      </c>
      <c r="J49" t="b">
        <f t="shared" si="1"/>
        <v>0</v>
      </c>
      <c r="K49" s="7">
        <f t="shared" si="2"/>
        <v>38.30106796777963</v>
      </c>
      <c r="L49" s="7">
        <f t="shared" si="10"/>
        <v>0.30106796777963041</v>
      </c>
      <c r="M49">
        <f t="shared" si="3"/>
        <v>1</v>
      </c>
      <c r="N49">
        <f t="shared" si="4"/>
        <v>1</v>
      </c>
      <c r="O49" s="3">
        <f t="shared" si="11"/>
        <v>1654153.4051556326</v>
      </c>
    </row>
    <row r="50" spans="1:15" x14ac:dyDescent="0.25">
      <c r="A50">
        <f>'hours (1)'!A50</f>
        <v>39</v>
      </c>
      <c r="B50">
        <f>'hours (1)'!B50</f>
        <v>213584</v>
      </c>
      <c r="C50" s="6">
        <f t="shared" si="5"/>
        <v>0.24692476483110251</v>
      </c>
      <c r="D50" s="6">
        <f t="shared" si="12"/>
        <v>0.16443218097537801</v>
      </c>
      <c r="E50" s="9">
        <f t="shared" si="6"/>
        <v>37.194425019587612</v>
      </c>
      <c r="F50" s="7">
        <f t="shared" si="0"/>
        <v>38.759469070866004</v>
      </c>
      <c r="G50" s="7">
        <f t="shared" si="7"/>
        <v>39.30106796777963</v>
      </c>
      <c r="H50" s="7">
        <f t="shared" si="8"/>
        <v>0.22037123310116091</v>
      </c>
      <c r="I50" s="7">
        <f t="shared" si="9"/>
        <v>0.35068144495948828</v>
      </c>
      <c r="J50" t="b">
        <f t="shared" si="1"/>
        <v>0</v>
      </c>
      <c r="K50" s="7">
        <f t="shared" si="2"/>
        <v>39.30106796777963</v>
      </c>
      <c r="L50" s="7">
        <f t="shared" si="10"/>
        <v>0.30106796777963041</v>
      </c>
      <c r="M50">
        <f t="shared" si="3"/>
        <v>1</v>
      </c>
      <c r="N50">
        <f t="shared" si="4"/>
        <v>1</v>
      </c>
      <c r="O50" s="3">
        <f t="shared" si="11"/>
        <v>211947.82815645207</v>
      </c>
    </row>
    <row r="51" spans="1:15" x14ac:dyDescent="0.25">
      <c r="A51">
        <f>'hours (1)'!A51</f>
        <v>40</v>
      </c>
      <c r="B51">
        <f>'hours (1)'!B51</f>
        <v>70800000</v>
      </c>
      <c r="C51" s="6">
        <f t="shared" si="5"/>
        <v>0.76671434612042266</v>
      </c>
      <c r="D51" s="6">
        <f t="shared" si="12"/>
        <v>0.16597046340010599</v>
      </c>
      <c r="E51" s="9">
        <f t="shared" si="6"/>
        <v>38.194425019587612</v>
      </c>
      <c r="F51" s="7">
        <f t="shared" ref="F51:F82" si="13">$A51-$B$5*$B$12*$B$4*$B$9</f>
        <v>39.759469070866004</v>
      </c>
      <c r="G51" s="7">
        <f t="shared" si="7"/>
        <v>40.30106796777963</v>
      </c>
      <c r="H51" s="7">
        <f t="shared" si="8"/>
        <v>0.21475362390530461</v>
      </c>
      <c r="I51" s="7">
        <f t="shared" si="9"/>
        <v>0.38248976711023919</v>
      </c>
      <c r="J51" t="b">
        <f t="shared" ref="J51:J82" si="14">F51&lt;=$B$14</f>
        <v>0</v>
      </c>
      <c r="K51" s="7">
        <f t="shared" ref="K51:K82" si="15">IF(J51,F51,IF(H51&lt;I51,G51,$B$14))</f>
        <v>40.30106796777963</v>
      </c>
      <c r="L51" s="7">
        <f t="shared" si="10"/>
        <v>0.30106796777963041</v>
      </c>
      <c r="M51">
        <f t="shared" ref="M51:M82" si="16">IF($A51&gt;$B$15,1,0)</f>
        <v>1</v>
      </c>
      <c r="N51">
        <f t="shared" ref="N51:N82" si="17">IF($K51&gt;$B$15,1,0)</f>
        <v>1</v>
      </c>
      <c r="O51" s="3">
        <f t="shared" si="11"/>
        <v>70271090.63869375</v>
      </c>
    </row>
    <row r="52" spans="1:15" x14ac:dyDescent="0.25">
      <c r="A52">
        <f>'hours (1)'!A52</f>
        <v>41</v>
      </c>
      <c r="B52">
        <f>'hours (1)'!B52</f>
        <v>92662.9</v>
      </c>
      <c r="C52" s="6">
        <f t="shared" si="5"/>
        <v>0.76739464569658167</v>
      </c>
      <c r="D52" s="6">
        <f t="shared" si="12"/>
        <v>0.68896361793747007</v>
      </c>
      <c r="E52" s="9">
        <f t="shared" si="6"/>
        <v>39.194425019587612</v>
      </c>
      <c r="F52" s="7">
        <f t="shared" si="13"/>
        <v>40.759469070866004</v>
      </c>
      <c r="G52" s="7">
        <f t="shared" si="7"/>
        <v>41.30106796777963</v>
      </c>
      <c r="H52" s="7">
        <f t="shared" si="8"/>
        <v>0.20941536248953665</v>
      </c>
      <c r="I52" s="7">
        <f t="shared" si="9"/>
        <v>0.41704098268132528</v>
      </c>
      <c r="J52" t="b">
        <f t="shared" si="14"/>
        <v>0</v>
      </c>
      <c r="K52" s="7">
        <f t="shared" si="15"/>
        <v>41.30106796777963</v>
      </c>
      <c r="L52" s="7">
        <f t="shared" si="10"/>
        <v>0.30106796777963041</v>
      </c>
      <c r="M52">
        <f t="shared" si="16"/>
        <v>1</v>
      </c>
      <c r="N52">
        <f t="shared" si="17"/>
        <v>1</v>
      </c>
      <c r="O52" s="3">
        <f t="shared" si="11"/>
        <v>91987.425191132308</v>
      </c>
    </row>
    <row r="53" spans="1:15" x14ac:dyDescent="0.25">
      <c r="A53">
        <f>'hours (1)'!A53</f>
        <v>42</v>
      </c>
      <c r="B53">
        <f>'hours (1)'!B53</f>
        <v>690234</v>
      </c>
      <c r="C53" s="6">
        <f t="shared" si="5"/>
        <v>0.77246210956454286</v>
      </c>
      <c r="D53" s="6">
        <f t="shared" si="12"/>
        <v>0.68966522265412356</v>
      </c>
      <c r="E53" s="9">
        <f t="shared" si="6"/>
        <v>40.194425019587612</v>
      </c>
      <c r="F53" s="7">
        <f t="shared" si="13"/>
        <v>41.759469070866004</v>
      </c>
      <c r="G53" s="7">
        <f t="shared" si="7"/>
        <v>42.30106796777963</v>
      </c>
      <c r="H53" s="7">
        <f t="shared" si="8"/>
        <v>0.20433611318273584</v>
      </c>
      <c r="I53" s="7">
        <f t="shared" si="9"/>
        <v>0.45419686872890308</v>
      </c>
      <c r="J53" t="b">
        <f t="shared" si="14"/>
        <v>0</v>
      </c>
      <c r="K53" s="7">
        <f t="shared" si="15"/>
        <v>42.30106796777963</v>
      </c>
      <c r="L53" s="7">
        <f t="shared" si="10"/>
        <v>0.30106796777963041</v>
      </c>
      <c r="M53">
        <f t="shared" si="16"/>
        <v>1</v>
      </c>
      <c r="N53">
        <f t="shared" si="17"/>
        <v>1</v>
      </c>
      <c r="O53" s="3">
        <f t="shared" si="11"/>
        <v>685321.42077550641</v>
      </c>
    </row>
    <row r="54" spans="1:15" x14ac:dyDescent="0.25">
      <c r="A54">
        <f>'hours (1)'!A54</f>
        <v>43</v>
      </c>
      <c r="B54">
        <f>'hours (1)'!B54</f>
        <v>396101.2</v>
      </c>
      <c r="C54" s="6">
        <f t="shared" si="5"/>
        <v>0.77537015019866995</v>
      </c>
      <c r="D54" s="6">
        <f t="shared" si="12"/>
        <v>0.69501885316090872</v>
      </c>
      <c r="E54" s="9">
        <f t="shared" si="6"/>
        <v>41.194425019587612</v>
      </c>
      <c r="F54" s="7">
        <f t="shared" si="13"/>
        <v>42.759469070866004</v>
      </c>
      <c r="G54" s="7">
        <f t="shared" si="7"/>
        <v>43.30106796777963</v>
      </c>
      <c r="H54" s="7">
        <f t="shared" si="8"/>
        <v>0.19949746778466276</v>
      </c>
      <c r="I54" s="7">
        <f t="shared" si="9"/>
        <v>0.49382939425988881</v>
      </c>
      <c r="J54" t="b">
        <f t="shared" si="14"/>
        <v>0</v>
      </c>
      <c r="K54" s="7">
        <f t="shared" si="15"/>
        <v>43.30106796777963</v>
      </c>
      <c r="L54" s="7">
        <f t="shared" si="10"/>
        <v>0.30106796777963041</v>
      </c>
      <c r="M54">
        <f t="shared" si="16"/>
        <v>1</v>
      </c>
      <c r="N54">
        <f t="shared" si="17"/>
        <v>1</v>
      </c>
      <c r="O54" s="3">
        <f t="shared" si="11"/>
        <v>393347.14821984974</v>
      </c>
    </row>
    <row r="55" spans="1:15" x14ac:dyDescent="0.25">
      <c r="A55">
        <f>'hours (1)'!A55</f>
        <v>44</v>
      </c>
      <c r="B55">
        <f>'hours (1)'!B55</f>
        <v>421844.8</v>
      </c>
      <c r="C55" s="6">
        <f t="shared" si="5"/>
        <v>0.77846719161054956</v>
      </c>
      <c r="D55" s="6">
        <f t="shared" si="12"/>
        <v>0.69816426392802511</v>
      </c>
      <c r="E55" s="9">
        <f t="shared" si="6"/>
        <v>42.194425019587612</v>
      </c>
      <c r="F55" s="7">
        <f t="shared" si="13"/>
        <v>43.759469070866004</v>
      </c>
      <c r="G55" s="7">
        <f t="shared" si="7"/>
        <v>44.30106796777963</v>
      </c>
      <c r="H55" s="7">
        <f t="shared" si="8"/>
        <v>0.19488272244416727</v>
      </c>
      <c r="I55" s="7">
        <f t="shared" si="9"/>
        <v>0.53581974220957918</v>
      </c>
      <c r="J55" t="b">
        <f t="shared" si="14"/>
        <v>0</v>
      </c>
      <c r="K55" s="7">
        <f t="shared" si="15"/>
        <v>44.30106796777963</v>
      </c>
      <c r="L55" s="7">
        <f t="shared" si="10"/>
        <v>0.30106796777963041</v>
      </c>
      <c r="M55">
        <f t="shared" si="16"/>
        <v>1</v>
      </c>
      <c r="N55">
        <f t="shared" si="17"/>
        <v>1</v>
      </c>
      <c r="O55" s="3">
        <f t="shared" si="11"/>
        <v>418977.96264188539</v>
      </c>
    </row>
    <row r="56" spans="1:15" x14ac:dyDescent="0.25">
      <c r="A56">
        <f>'hours (1)'!A56</f>
        <v>45</v>
      </c>
      <c r="B56">
        <f>'hours (1)'!B56</f>
        <v>6143031</v>
      </c>
      <c r="C56" s="6">
        <f t="shared" si="5"/>
        <v>0.82356724120570934</v>
      </c>
      <c r="D56" s="6">
        <f t="shared" si="12"/>
        <v>0.70159200597526949</v>
      </c>
      <c r="E56" s="9">
        <f t="shared" si="6"/>
        <v>43.194425019587612</v>
      </c>
      <c r="F56" s="7">
        <f t="shared" si="13"/>
        <v>44.759469070866004</v>
      </c>
      <c r="G56" s="7">
        <f t="shared" si="7"/>
        <v>45.30106796777963</v>
      </c>
      <c r="H56" s="7">
        <f t="shared" si="8"/>
        <v>0.19047668483575583</v>
      </c>
      <c r="I56" s="7">
        <f t="shared" si="9"/>
        <v>0.58005744599017506</v>
      </c>
      <c r="J56" t="b">
        <f t="shared" si="14"/>
        <v>0</v>
      </c>
      <c r="K56" s="7">
        <f t="shared" si="15"/>
        <v>45.30106796777963</v>
      </c>
      <c r="L56" s="7">
        <f t="shared" si="10"/>
        <v>0.30106796777963041</v>
      </c>
      <c r="M56">
        <f t="shared" si="16"/>
        <v>1</v>
      </c>
      <c r="N56">
        <f t="shared" si="17"/>
        <v>1</v>
      </c>
      <c r="O56" s="3">
        <f t="shared" si="11"/>
        <v>6102204.8132864172</v>
      </c>
    </row>
    <row r="57" spans="1:15" x14ac:dyDescent="0.25">
      <c r="A57">
        <f>'hours (1)'!A57</f>
        <v>46</v>
      </c>
      <c r="B57">
        <f>'hours (1)'!B57</f>
        <v>205670.1</v>
      </c>
      <c r="C57" s="6">
        <f t="shared" si="5"/>
        <v>0.82507720130687789</v>
      </c>
      <c r="D57" s="6">
        <f t="shared" si="12"/>
        <v>0.75264226806919143</v>
      </c>
      <c r="E57" s="9">
        <f t="shared" si="6"/>
        <v>44.194425019587612</v>
      </c>
      <c r="F57" s="7">
        <f t="shared" si="13"/>
        <v>45.759469070866004</v>
      </c>
      <c r="G57" s="7">
        <f t="shared" si="7"/>
        <v>46.30106796777963</v>
      </c>
      <c r="H57" s="7">
        <f t="shared" si="8"/>
        <v>0.18626550693987853</v>
      </c>
      <c r="I57" s="7">
        <f t="shared" si="9"/>
        <v>0.62643962487249683</v>
      </c>
      <c r="J57" t="b">
        <f t="shared" si="14"/>
        <v>0</v>
      </c>
      <c r="K57" s="7">
        <f t="shared" si="15"/>
        <v>46.30106796777963</v>
      </c>
      <c r="L57" s="7">
        <f t="shared" si="10"/>
        <v>0.30106796777963041</v>
      </c>
      <c r="M57">
        <f t="shared" si="16"/>
        <v>1</v>
      </c>
      <c r="N57">
        <f t="shared" si="17"/>
        <v>1</v>
      </c>
      <c r="O57" s="3">
        <f t="shared" si="11"/>
        <v>204332.75117074355</v>
      </c>
    </row>
    <row r="58" spans="1:15" x14ac:dyDescent="0.25">
      <c r="A58">
        <f>'hours (1)'!A58</f>
        <v>47</v>
      </c>
      <c r="B58">
        <f>'hours (1)'!B58</f>
        <v>153490.29999999999</v>
      </c>
      <c r="C58" s="6">
        <f t="shared" si="5"/>
        <v>0.82620407501830406</v>
      </c>
      <c r="D58" s="6">
        <f t="shared" si="12"/>
        <v>0.75438942431992539</v>
      </c>
      <c r="E58" s="9">
        <f t="shared" si="6"/>
        <v>45.194425019587612</v>
      </c>
      <c r="F58" s="7">
        <f t="shared" si="13"/>
        <v>46.759469070866004</v>
      </c>
      <c r="G58" s="7">
        <f t="shared" si="7"/>
        <v>47.30106796777963</v>
      </c>
      <c r="H58" s="7">
        <f t="shared" si="8"/>
        <v>0.18223653954579552</v>
      </c>
      <c r="I58" s="7">
        <f t="shared" si="9"/>
        <v>0.67487030492884825</v>
      </c>
      <c r="J58" t="b">
        <f t="shared" si="14"/>
        <v>0</v>
      </c>
      <c r="K58" s="7">
        <f t="shared" si="15"/>
        <v>47.30106796777963</v>
      </c>
      <c r="L58" s="7">
        <f t="shared" si="10"/>
        <v>0.30106796777963041</v>
      </c>
      <c r="M58">
        <f t="shared" si="16"/>
        <v>1</v>
      </c>
      <c r="N58">
        <f t="shared" si="17"/>
        <v>1</v>
      </c>
      <c r="O58" s="3">
        <f t="shared" si="11"/>
        <v>152513.34504569825</v>
      </c>
    </row>
    <row r="59" spans="1:15" x14ac:dyDescent="0.25">
      <c r="A59">
        <f>'hours (1)'!A59</f>
        <v>48</v>
      </c>
      <c r="B59">
        <f>'hours (1)'!B59</f>
        <v>1108012</v>
      </c>
      <c r="C59" s="6">
        <f t="shared" si="5"/>
        <v>0.83433872323219593</v>
      </c>
      <c r="D59" s="6">
        <f t="shared" si="12"/>
        <v>0.75572166149535991</v>
      </c>
      <c r="E59" s="9">
        <f t="shared" si="6"/>
        <v>46.194425019587612</v>
      </c>
      <c r="F59" s="7">
        <f t="shared" si="13"/>
        <v>47.759469070866004</v>
      </c>
      <c r="G59" s="7">
        <f t="shared" si="7"/>
        <v>48.30106796777963</v>
      </c>
      <c r="H59" s="7">
        <f t="shared" si="8"/>
        <v>0.17837820525406389</v>
      </c>
      <c r="I59" s="7">
        <f t="shared" si="9"/>
        <v>0.72525981429888997</v>
      </c>
      <c r="J59" t="b">
        <f t="shared" si="14"/>
        <v>0</v>
      </c>
      <c r="K59" s="7">
        <f t="shared" si="15"/>
        <v>48.30106796777963</v>
      </c>
      <c r="L59" s="7">
        <f t="shared" si="10"/>
        <v>0.30106796777963041</v>
      </c>
      <c r="M59">
        <f t="shared" si="16"/>
        <v>1</v>
      </c>
      <c r="N59">
        <f t="shared" si="17"/>
        <v>1</v>
      </c>
      <c r="O59" s="3">
        <f t="shared" si="11"/>
        <v>1101105.5911947542</v>
      </c>
    </row>
    <row r="60" spans="1:15" x14ac:dyDescent="0.25">
      <c r="A60">
        <f>'hours (1)'!A60</f>
        <v>49</v>
      </c>
      <c r="B60">
        <f>'hours (1)'!B60</f>
        <v>77834.45</v>
      </c>
      <c r="C60" s="6">
        <f t="shared" si="5"/>
        <v>0.8349101573589669</v>
      </c>
      <c r="D60" s="6">
        <f t="shared" si="12"/>
        <v>0.76554340202324556</v>
      </c>
      <c r="E60" s="9">
        <f t="shared" si="6"/>
        <v>47.194425019587612</v>
      </c>
      <c r="F60" s="7">
        <f t="shared" si="13"/>
        <v>48.759469070866004</v>
      </c>
      <c r="G60" s="7">
        <f t="shared" si="7"/>
        <v>49.30106796777963</v>
      </c>
      <c r="H60" s="7">
        <f t="shared" si="8"/>
        <v>0.17467988729098016</v>
      </c>
      <c r="I60" s="7">
        <f t="shared" si="9"/>
        <v>0.77752424322565727</v>
      </c>
      <c r="J60" t="b">
        <f t="shared" si="14"/>
        <v>0</v>
      </c>
      <c r="K60" s="7">
        <f t="shared" si="15"/>
        <v>49.30106796777963</v>
      </c>
      <c r="L60" s="7">
        <f t="shared" si="10"/>
        <v>0.30106796777963041</v>
      </c>
      <c r="M60">
        <f t="shared" si="16"/>
        <v>1</v>
      </c>
      <c r="N60">
        <f t="shared" si="17"/>
        <v>1</v>
      </c>
      <c r="O60" s="3">
        <f t="shared" si="11"/>
        <v>77359.136570683215</v>
      </c>
    </row>
    <row r="61" spans="1:15" x14ac:dyDescent="0.25">
      <c r="A61">
        <f>'hours (1)'!A61</f>
        <v>50</v>
      </c>
      <c r="B61">
        <f>'hours (1)'!B61</f>
        <v>10100000</v>
      </c>
      <c r="C61" s="6">
        <f t="shared" si="5"/>
        <v>0.9090609309609744</v>
      </c>
      <c r="D61" s="6">
        <f t="shared" si="12"/>
        <v>0.76624772311869815</v>
      </c>
      <c r="E61" s="9">
        <f t="shared" si="6"/>
        <v>48.194425019587612</v>
      </c>
      <c r="F61" s="7">
        <f t="shared" si="13"/>
        <v>49.759469070866004</v>
      </c>
      <c r="G61" s="7">
        <f t="shared" si="7"/>
        <v>50.30106796777963</v>
      </c>
      <c r="H61" s="7">
        <f t="shared" si="8"/>
        <v>0.1711318318844979</v>
      </c>
      <c r="I61" s="7">
        <f t="shared" si="9"/>
        <v>0.83158496071134036</v>
      </c>
      <c r="J61" t="b">
        <f t="shared" si="14"/>
        <v>0</v>
      </c>
      <c r="K61" s="7">
        <f t="shared" si="15"/>
        <v>50.30106796777963</v>
      </c>
      <c r="L61" s="7">
        <f t="shared" si="10"/>
        <v>0.30106796777963041</v>
      </c>
      <c r="M61">
        <f t="shared" si="16"/>
        <v>1</v>
      </c>
      <c r="N61">
        <f t="shared" si="17"/>
        <v>1</v>
      </c>
      <c r="O61" s="3">
        <f t="shared" si="11"/>
        <v>10039548.272085952</v>
      </c>
    </row>
    <row r="62" spans="1:15" x14ac:dyDescent="0.25">
      <c r="A62">
        <f>'hours (1)'!A62</f>
        <v>51</v>
      </c>
      <c r="B62">
        <f>'hours (1)'!B62</f>
        <v>19376.21</v>
      </c>
      <c r="C62" s="6">
        <f t="shared" si="5"/>
        <v>0.90920318452146698</v>
      </c>
      <c r="D62" s="6">
        <f t="shared" si="12"/>
        <v>0.85950744876889895</v>
      </c>
      <c r="E62" s="9">
        <f t="shared" si="6"/>
        <v>49.194425019587612</v>
      </c>
      <c r="F62" s="7">
        <f t="shared" si="13"/>
        <v>50.759469070866004</v>
      </c>
      <c r="G62" s="7">
        <f t="shared" si="7"/>
        <v>51.30106796777963</v>
      </c>
      <c r="H62" s="7">
        <f t="shared" si="8"/>
        <v>0.16772506231003118</v>
      </c>
      <c r="I62" s="7">
        <f t="shared" si="9"/>
        <v>0.88736818081445201</v>
      </c>
      <c r="J62" t="b">
        <f t="shared" si="14"/>
        <v>0</v>
      </c>
      <c r="K62" s="7">
        <f t="shared" si="15"/>
        <v>51.30106796777963</v>
      </c>
      <c r="L62" s="7">
        <f t="shared" si="10"/>
        <v>0.30106796777963041</v>
      </c>
      <c r="M62">
        <f t="shared" si="16"/>
        <v>1</v>
      </c>
      <c r="N62">
        <f t="shared" si="17"/>
        <v>1</v>
      </c>
      <c r="O62" s="3">
        <f t="shared" si="11"/>
        <v>19262.497822085199</v>
      </c>
    </row>
    <row r="63" spans="1:15" x14ac:dyDescent="0.25">
      <c r="A63">
        <f>'hours (1)'!A63</f>
        <v>52</v>
      </c>
      <c r="B63">
        <f>'hours (1)'!B63</f>
        <v>1296780</v>
      </c>
      <c r="C63" s="6">
        <f t="shared" si="5"/>
        <v>0.91872370335231957</v>
      </c>
      <c r="D63" s="6">
        <f t="shared" si="12"/>
        <v>0.85968993990051434</v>
      </c>
      <c r="E63" s="9">
        <f t="shared" si="6"/>
        <v>50.194425019587612</v>
      </c>
      <c r="F63" s="7">
        <f t="shared" si="13"/>
        <v>51.759469070866004</v>
      </c>
      <c r="G63" s="7">
        <f t="shared" si="7"/>
        <v>52.30106796777963</v>
      </c>
      <c r="H63" s="7">
        <f t="shared" si="8"/>
        <v>0.16445130301016858</v>
      </c>
      <c r="I63" s="7">
        <f t="shared" si="9"/>
        <v>0.94480457259328809</v>
      </c>
      <c r="J63" t="b">
        <f t="shared" si="14"/>
        <v>0</v>
      </c>
      <c r="K63" s="7">
        <f t="shared" si="15"/>
        <v>52.30106796777963</v>
      </c>
      <c r="L63" s="7">
        <f t="shared" si="10"/>
        <v>0.30106796777963041</v>
      </c>
      <c r="M63">
        <f t="shared" si="16"/>
        <v>1</v>
      </c>
      <c r="N63">
        <f t="shared" si="17"/>
        <v>1</v>
      </c>
      <c r="O63" s="3">
        <f t="shared" si="11"/>
        <v>1289315.163536282</v>
      </c>
    </row>
    <row r="64" spans="1:15" x14ac:dyDescent="0.25">
      <c r="A64">
        <f>'hours (1)'!A64</f>
        <v>53</v>
      </c>
      <c r="B64">
        <f>'hours (1)'!B64</f>
        <v>75603.33</v>
      </c>
      <c r="C64" s="6">
        <f t="shared" si="5"/>
        <v>0.91927875735295206</v>
      </c>
      <c r="D64" s="6">
        <f t="shared" si="12"/>
        <v>0.87214289444604054</v>
      </c>
      <c r="E64" s="9">
        <f t="shared" si="6"/>
        <v>51.194425019587612</v>
      </c>
      <c r="F64" s="7">
        <f t="shared" si="13"/>
        <v>52.759469070866004</v>
      </c>
      <c r="G64" s="7">
        <f t="shared" si="7"/>
        <v>53.30106796777963</v>
      </c>
      <c r="H64" s="7">
        <f t="shared" si="8"/>
        <v>0.16130291243707873</v>
      </c>
      <c r="I64" s="7">
        <f t="shared" si="9"/>
        <v>1.0038289085286107</v>
      </c>
      <c r="J64" t="b">
        <f t="shared" si="14"/>
        <v>0</v>
      </c>
      <c r="K64" s="7">
        <f t="shared" si="15"/>
        <v>53.30106796777963</v>
      </c>
      <c r="L64" s="7">
        <f t="shared" si="10"/>
        <v>0.30106796777963041</v>
      </c>
      <c r="M64">
        <f t="shared" si="16"/>
        <v>1</v>
      </c>
      <c r="N64">
        <f t="shared" si="17"/>
        <v>1</v>
      </c>
      <c r="O64" s="3">
        <f t="shared" si="11"/>
        <v>75176.289008359236</v>
      </c>
    </row>
    <row r="65" spans="1:15" x14ac:dyDescent="0.25">
      <c r="A65">
        <f>'hours (1)'!A65</f>
        <v>54</v>
      </c>
      <c r="B65">
        <f>'hours (1)'!B65</f>
        <v>93215.23</v>
      </c>
      <c r="C65" s="6">
        <f t="shared" si="5"/>
        <v>0.91996311194859459</v>
      </c>
      <c r="D65" s="6">
        <f t="shared" si="12"/>
        <v>0.87288287370969242</v>
      </c>
      <c r="E65" s="9">
        <f t="shared" si="6"/>
        <v>52.194425019587612</v>
      </c>
      <c r="F65" s="7">
        <f t="shared" si="13"/>
        <v>53.759469070866004</v>
      </c>
      <c r="G65" s="7">
        <f t="shared" si="7"/>
        <v>54.30106796777963</v>
      </c>
      <c r="H65" s="7">
        <f t="shared" si="8"/>
        <v>0.1582728234696236</v>
      </c>
      <c r="I65" s="7">
        <f t="shared" si="9"/>
        <v>1.0643797469583773</v>
      </c>
      <c r="J65" t="b">
        <f t="shared" si="14"/>
        <v>0</v>
      </c>
      <c r="K65" s="7">
        <f t="shared" si="15"/>
        <v>54.30106796777963</v>
      </c>
      <c r="L65" s="7">
        <f t="shared" si="10"/>
        <v>0.30106796777963041</v>
      </c>
      <c r="M65">
        <f t="shared" si="16"/>
        <v>1</v>
      </c>
      <c r="N65">
        <f t="shared" si="17"/>
        <v>1</v>
      </c>
      <c r="O65" s="3">
        <f t="shared" si="11"/>
        <v>92698.405544929192</v>
      </c>
    </row>
    <row r="66" spans="1:15" x14ac:dyDescent="0.25">
      <c r="A66">
        <f>'hours (1)'!A66</f>
        <v>55</v>
      </c>
      <c r="B66">
        <f>'hours (1)'!B66</f>
        <v>2501288</v>
      </c>
      <c r="C66" s="6">
        <f t="shared" si="5"/>
        <v>0.93832671988932903</v>
      </c>
      <c r="D66" s="6">
        <f t="shared" si="12"/>
        <v>0.87381244647388234</v>
      </c>
      <c r="E66" s="9">
        <f t="shared" si="6"/>
        <v>53.194425019587612</v>
      </c>
      <c r="F66" s="7">
        <f t="shared" si="13"/>
        <v>54.759469070866004</v>
      </c>
      <c r="G66" s="7">
        <f t="shared" si="7"/>
        <v>55.30106796777963</v>
      </c>
      <c r="H66" s="7">
        <f t="shared" si="8"/>
        <v>0.15535449042669763</v>
      </c>
      <c r="I66" s="7">
        <f t="shared" si="9"/>
        <v>1.1263991446508761</v>
      </c>
      <c r="J66" t="b">
        <f t="shared" si="14"/>
        <v>0</v>
      </c>
      <c r="K66" s="7">
        <f t="shared" si="15"/>
        <v>55.30106796777963</v>
      </c>
      <c r="L66" s="7">
        <f t="shared" si="10"/>
        <v>0.30106796777963041</v>
      </c>
      <c r="M66">
        <f t="shared" si="16"/>
        <v>1</v>
      </c>
      <c r="N66">
        <f t="shared" si="17"/>
        <v>1</v>
      </c>
      <c r="O66" s="3">
        <f t="shared" si="11"/>
        <v>2487670.5831459467</v>
      </c>
    </row>
    <row r="67" spans="1:15" x14ac:dyDescent="0.25">
      <c r="A67">
        <f>'hours (1)'!A67</f>
        <v>56</v>
      </c>
      <c r="B67">
        <f>'hours (1)'!B67</f>
        <v>249015.8</v>
      </c>
      <c r="C67" s="6">
        <f t="shared" si="5"/>
        <v>0.94015490941498481</v>
      </c>
      <c r="D67" s="6">
        <f t="shared" si="12"/>
        <v>0.89921802824787778</v>
      </c>
      <c r="E67" s="9">
        <f t="shared" si="6"/>
        <v>54.194425019587612</v>
      </c>
      <c r="F67" s="7">
        <f t="shared" si="13"/>
        <v>55.759469070866004</v>
      </c>
      <c r="G67" s="7">
        <f t="shared" si="7"/>
        <v>56.30106796777963</v>
      </c>
      <c r="H67" s="7">
        <f t="shared" si="8"/>
        <v>0.15254184184018477</v>
      </c>
      <c r="I67" s="7">
        <f t="shared" si="9"/>
        <v>1.1898323961478063</v>
      </c>
      <c r="J67" t="b">
        <f t="shared" si="14"/>
        <v>0</v>
      </c>
      <c r="K67" s="7">
        <f t="shared" si="15"/>
        <v>56.30106796777963</v>
      </c>
      <c r="L67" s="7">
        <f t="shared" si="10"/>
        <v>0.30106796777963041</v>
      </c>
      <c r="M67">
        <f t="shared" si="16"/>
        <v>1</v>
      </c>
      <c r="N67">
        <f t="shared" si="17"/>
        <v>1</v>
      </c>
      <c r="O67" s="3">
        <f t="shared" si="11"/>
        <v>247684.19682519123</v>
      </c>
    </row>
    <row r="68" spans="1:15" x14ac:dyDescent="0.25">
      <c r="A68">
        <f>'hours (1)'!A68</f>
        <v>57</v>
      </c>
      <c r="B68">
        <f>'hours (1)'!B68</f>
        <v>30187.94</v>
      </c>
      <c r="C68" s="6">
        <f t="shared" si="5"/>
        <v>0.94037653902928686</v>
      </c>
      <c r="D68" s="6">
        <f t="shared" si="12"/>
        <v>0.9017932681105939</v>
      </c>
      <c r="E68" s="9">
        <f t="shared" si="6"/>
        <v>55.194425019587612</v>
      </c>
      <c r="F68" s="7">
        <f t="shared" si="13"/>
        <v>56.759469070866004</v>
      </c>
      <c r="G68" s="7">
        <f t="shared" si="7"/>
        <v>57.30106796777963</v>
      </c>
      <c r="H68" s="7">
        <f t="shared" si="8"/>
        <v>0.14982923827002442</v>
      </c>
      <c r="I68" s="7">
        <f t="shared" si="9"/>
        <v>1.2546277969400086</v>
      </c>
      <c r="J68" t="b">
        <f t="shared" si="14"/>
        <v>0</v>
      </c>
      <c r="K68" s="7">
        <f t="shared" si="15"/>
        <v>57.30106796777963</v>
      </c>
      <c r="L68" s="7">
        <f t="shared" si="10"/>
        <v>0.30106796777963041</v>
      </c>
      <c r="M68">
        <f t="shared" si="16"/>
        <v>1</v>
      </c>
      <c r="N68">
        <f t="shared" si="17"/>
        <v>1</v>
      </c>
      <c r="O68" s="3">
        <f t="shared" si="11"/>
        <v>30029.328266055283</v>
      </c>
    </row>
    <row r="69" spans="1:15" x14ac:dyDescent="0.25">
      <c r="A69">
        <f>'hours (1)'!A69</f>
        <v>58</v>
      </c>
      <c r="B69">
        <f>'hours (1)'!B69</f>
        <v>87955.02</v>
      </c>
      <c r="C69" s="6">
        <f t="shared" si="5"/>
        <v>0.94102227494762147</v>
      </c>
      <c r="D69" s="6">
        <f t="shared" si="12"/>
        <v>0.90211103679006643</v>
      </c>
      <c r="E69" s="9">
        <f t="shared" si="6"/>
        <v>56.194425019587612</v>
      </c>
      <c r="F69" s="7">
        <f t="shared" si="13"/>
        <v>57.759469070866004</v>
      </c>
      <c r="G69" s="7">
        <f t="shared" si="7"/>
        <v>58.30106796777963</v>
      </c>
      <c r="H69" s="7">
        <f t="shared" si="8"/>
        <v>0.14721143454427404</v>
      </c>
      <c r="I69" s="7">
        <f t="shared" si="9"/>
        <v>1.3207364279078131</v>
      </c>
      <c r="J69" t="b">
        <f t="shared" si="14"/>
        <v>0</v>
      </c>
      <c r="K69" s="7">
        <f t="shared" si="15"/>
        <v>58.30106796777963</v>
      </c>
      <c r="L69" s="7">
        <f t="shared" si="10"/>
        <v>0.30106796777963041</v>
      </c>
      <c r="M69">
        <f t="shared" si="16"/>
        <v>1</v>
      </c>
      <c r="N69">
        <f t="shared" si="17"/>
        <v>1</v>
      </c>
      <c r="O69" s="3">
        <f t="shared" si="11"/>
        <v>87500.818386711355</v>
      </c>
    </row>
    <row r="70" spans="1:15" x14ac:dyDescent="0.25">
      <c r="A70">
        <f>'hours (1)'!A70</f>
        <v>59</v>
      </c>
      <c r="B70">
        <f>'hours (1)'!B70</f>
        <v>20569.490000000002</v>
      </c>
      <c r="C70" s="6">
        <f t="shared" si="5"/>
        <v>0.94117328916505705</v>
      </c>
      <c r="D70" s="6">
        <f t="shared" si="12"/>
        <v>0.9030531245920782</v>
      </c>
      <c r="E70" s="9">
        <f t="shared" si="6"/>
        <v>57.194425019587612</v>
      </c>
      <c r="F70" s="7">
        <f t="shared" si="13"/>
        <v>58.759469070866004</v>
      </c>
      <c r="G70" s="7">
        <f t="shared" si="7"/>
        <v>59.30106796777963</v>
      </c>
      <c r="H70" s="7">
        <f t="shared" si="8"/>
        <v>0.14468354589188726</v>
      </c>
      <c r="I70" s="7">
        <f t="shared" si="9"/>
        <v>1.3881119587751585</v>
      </c>
      <c r="J70" t="b">
        <f t="shared" si="14"/>
        <v>0</v>
      </c>
      <c r="K70" s="7">
        <f t="shared" si="15"/>
        <v>59.30106796777963</v>
      </c>
      <c r="L70" s="7">
        <f t="shared" si="10"/>
        <v>0.30106796777963041</v>
      </c>
      <c r="M70">
        <f t="shared" si="16"/>
        <v>1</v>
      </c>
      <c r="N70">
        <f t="shared" si="17"/>
        <v>1</v>
      </c>
      <c r="O70" s="3">
        <f t="shared" si="11"/>
        <v>20465.059932131273</v>
      </c>
    </row>
    <row r="71" spans="1:15" x14ac:dyDescent="0.25">
      <c r="A71">
        <f>'hours (1)'!A71</f>
        <v>60</v>
      </c>
      <c r="B71">
        <f>'hours (1)'!B71</f>
        <v>4952193</v>
      </c>
      <c r="C71" s="6">
        <f t="shared" si="5"/>
        <v>0.97753061015282405</v>
      </c>
      <c r="D71" s="6">
        <f t="shared" si="12"/>
        <v>0.90327724339337667</v>
      </c>
      <c r="E71" s="9">
        <f t="shared" si="6"/>
        <v>58.194425019587612</v>
      </c>
      <c r="F71" s="7">
        <f t="shared" si="13"/>
        <v>59.759469070866004</v>
      </c>
      <c r="G71" s="7">
        <f t="shared" si="7"/>
        <v>60.30106796777963</v>
      </c>
      <c r="H71" s="7">
        <f t="shared" si="8"/>
        <v>0.14224101750788737</v>
      </c>
      <c r="I71" s="7">
        <f t="shared" si="9"/>
        <v>1.4567104685997296</v>
      </c>
      <c r="J71" t="b">
        <f t="shared" si="14"/>
        <v>0</v>
      </c>
      <c r="K71" s="7">
        <f t="shared" si="15"/>
        <v>60.30106796777963</v>
      </c>
      <c r="L71" s="7">
        <f t="shared" si="10"/>
        <v>0.30106796777963041</v>
      </c>
      <c r="M71">
        <f t="shared" si="16"/>
        <v>1</v>
      </c>
      <c r="N71">
        <f t="shared" si="17"/>
        <v>1</v>
      </c>
      <c r="O71" s="3">
        <f t="shared" si="11"/>
        <v>4927467.9539467664</v>
      </c>
    </row>
    <row r="72" spans="1:15" x14ac:dyDescent="0.25">
      <c r="A72">
        <f>'hours (1)'!A72</f>
        <v>61</v>
      </c>
      <c r="B72">
        <f>'hours (1)'!B72</f>
        <v>8672.7000000000007</v>
      </c>
      <c r="C72" s="6">
        <f t="shared" si="5"/>
        <v>0.97759428217403377</v>
      </c>
      <c r="D72" s="6">
        <f t="shared" si="12"/>
        <v>0.95814934167617016</v>
      </c>
      <c r="E72" s="9">
        <f t="shared" si="6"/>
        <v>59.194425019587612</v>
      </c>
      <c r="F72" s="7">
        <f t="shared" si="13"/>
        <v>60.759469070866004</v>
      </c>
      <c r="G72" s="7">
        <f t="shared" si="7"/>
        <v>61.30106796777963</v>
      </c>
      <c r="H72" s="7">
        <f t="shared" si="8"/>
        <v>0.13987959715178166</v>
      </c>
      <c r="I72" s="7">
        <f t="shared" si="9"/>
        <v>1.526490281557314</v>
      </c>
      <c r="J72" t="b">
        <f t="shared" si="14"/>
        <v>0</v>
      </c>
      <c r="K72" s="7">
        <f t="shared" si="15"/>
        <v>61.30106796777963</v>
      </c>
      <c r="L72" s="7">
        <f t="shared" si="10"/>
        <v>0.30106796777963041</v>
      </c>
      <c r="M72">
        <f t="shared" si="16"/>
        <v>1</v>
      </c>
      <c r="N72">
        <f t="shared" si="17"/>
        <v>1</v>
      </c>
      <c r="O72" s="3">
        <f t="shared" si="11"/>
        <v>8630.1057638680177</v>
      </c>
    </row>
    <row r="73" spans="1:15" x14ac:dyDescent="0.25">
      <c r="A73">
        <f>'hours (1)'!A73</f>
        <v>62</v>
      </c>
      <c r="B73">
        <f>'hours (1)'!B73</f>
        <v>19027.900000000001</v>
      </c>
      <c r="C73" s="6">
        <f t="shared" si="5"/>
        <v>0.97773397856066957</v>
      </c>
      <c r="D73" s="6">
        <f t="shared" si="12"/>
        <v>0.95824703995534133</v>
      </c>
      <c r="E73" s="9">
        <f t="shared" si="6"/>
        <v>60.194425019587612</v>
      </c>
      <c r="F73" s="7">
        <f t="shared" si="13"/>
        <v>61.759469070866004</v>
      </c>
      <c r="G73" s="7">
        <f t="shared" si="7"/>
        <v>62.30106796777963</v>
      </c>
      <c r="H73" s="7">
        <f t="shared" si="8"/>
        <v>0.13759531043226131</v>
      </c>
      <c r="I73" s="7">
        <f t="shared" si="9"/>
        <v>1.5974118164828759</v>
      </c>
      <c r="J73" t="b">
        <f t="shared" si="14"/>
        <v>0</v>
      </c>
      <c r="K73" s="7">
        <f t="shared" si="15"/>
        <v>62.30106796777963</v>
      </c>
      <c r="L73" s="7">
        <f t="shared" si="10"/>
        <v>0.30106796777963041</v>
      </c>
      <c r="M73">
        <f t="shared" si="16"/>
        <v>1</v>
      </c>
      <c r="N73">
        <f t="shared" si="17"/>
        <v>1</v>
      </c>
      <c r="O73" s="3">
        <f t="shared" si="11"/>
        <v>18935.948266731531</v>
      </c>
    </row>
    <row r="74" spans="1:15" x14ac:dyDescent="0.25">
      <c r="A74">
        <f>'hours (1)'!A74</f>
        <v>63</v>
      </c>
      <c r="B74">
        <f>'hours (1)'!B74</f>
        <v>18365.64</v>
      </c>
      <c r="C74" s="6">
        <f t="shared" si="5"/>
        <v>0.97786881285905536</v>
      </c>
      <c r="D74" s="6">
        <f t="shared" si="12"/>
        <v>0.9584649038711619</v>
      </c>
      <c r="E74" s="9">
        <f t="shared" si="6"/>
        <v>61.194425019587612</v>
      </c>
      <c r="F74" s="7">
        <f t="shared" si="13"/>
        <v>62.759469070866004</v>
      </c>
      <c r="G74" s="7">
        <f t="shared" si="7"/>
        <v>63.30106796777963</v>
      </c>
      <c r="H74" s="7">
        <f t="shared" si="8"/>
        <v>0.13538443847586379</v>
      </c>
      <c r="I74" s="7">
        <f t="shared" si="9"/>
        <v>1.6694374488081538</v>
      </c>
      <c r="J74" t="b">
        <f t="shared" si="14"/>
        <v>0</v>
      </c>
      <c r="K74" s="7">
        <f t="shared" si="15"/>
        <v>63.30106796777963</v>
      </c>
      <c r="L74" s="7">
        <f t="shared" si="10"/>
        <v>0.30106796777963041</v>
      </c>
      <c r="M74">
        <f t="shared" si="16"/>
        <v>1</v>
      </c>
      <c r="N74">
        <f t="shared" si="17"/>
        <v>1</v>
      </c>
      <c r="O74" s="3">
        <f t="shared" si="11"/>
        <v>18278.290669423357</v>
      </c>
    </row>
    <row r="75" spans="1:15" x14ac:dyDescent="0.25">
      <c r="A75">
        <f>'hours (1)'!A75</f>
        <v>64</v>
      </c>
      <c r="B75">
        <f>'hours (1)'!B75</f>
        <v>40190.81</v>
      </c>
      <c r="C75" s="6">
        <f t="shared" si="5"/>
        <v>0.9781638801514505</v>
      </c>
      <c r="D75" s="6">
        <f t="shared" si="12"/>
        <v>0.95867857673553969</v>
      </c>
      <c r="E75" s="9">
        <f t="shared" si="6"/>
        <v>62.194425019587612</v>
      </c>
      <c r="F75" s="7">
        <f t="shared" si="13"/>
        <v>63.759469070866004</v>
      </c>
      <c r="G75" s="7">
        <f t="shared" si="7"/>
        <v>64.30106796777963</v>
      </c>
      <c r="H75" s="7">
        <f t="shared" si="8"/>
        <v>0.13324349771553762</v>
      </c>
      <c r="I75" s="7">
        <f t="shared" si="9"/>
        <v>1.7425313836900307</v>
      </c>
      <c r="J75" t="b">
        <f t="shared" si="14"/>
        <v>0</v>
      </c>
      <c r="K75" s="7">
        <f t="shared" si="15"/>
        <v>64.30106796777963</v>
      </c>
      <c r="L75" s="7">
        <f t="shared" si="10"/>
        <v>0.30106796777963041</v>
      </c>
      <c r="M75">
        <f t="shared" si="16"/>
        <v>1</v>
      </c>
      <c r="N75">
        <f t="shared" si="17"/>
        <v>1</v>
      </c>
      <c r="O75" s="3">
        <f t="shared" si="11"/>
        <v>40002.630147432377</v>
      </c>
    </row>
    <row r="76" spans="1:15" x14ac:dyDescent="0.25">
      <c r="A76">
        <f>'hours (1)'!A76</f>
        <v>65</v>
      </c>
      <c r="B76">
        <f>'hours (1)'!B76</f>
        <v>624453.69999999995</v>
      </c>
      <c r="C76" s="6">
        <f t="shared" si="5"/>
        <v>0.98274840737260261</v>
      </c>
      <c r="D76" s="6">
        <f t="shared" si="12"/>
        <v>0.95915359410289136</v>
      </c>
      <c r="E76" s="9">
        <f t="shared" si="6"/>
        <v>63.194425019587612</v>
      </c>
      <c r="F76" s="7">
        <f t="shared" si="13"/>
        <v>64.759469070866004</v>
      </c>
      <c r="G76" s="7">
        <f t="shared" si="7"/>
        <v>65.30106796777963</v>
      </c>
      <c r="H76" s="7">
        <f t="shared" si="8"/>
        <v>0.13116922156796268</v>
      </c>
      <c r="I76" s="7">
        <f t="shared" si="9"/>
        <v>1.8166595392584812</v>
      </c>
      <c r="J76" t="b">
        <f t="shared" si="14"/>
        <v>0</v>
      </c>
      <c r="K76" s="7">
        <f t="shared" si="15"/>
        <v>65.30106796777963</v>
      </c>
      <c r="L76" s="7">
        <f t="shared" si="10"/>
        <v>0.30106796777963041</v>
      </c>
      <c r="M76">
        <f t="shared" si="16"/>
        <v>1</v>
      </c>
      <c r="N76">
        <f t="shared" si="17"/>
        <v>1</v>
      </c>
      <c r="O76" s="3">
        <f t="shared" si="11"/>
        <v>621574.68113733397</v>
      </c>
    </row>
    <row r="77" spans="1:15" x14ac:dyDescent="0.25">
      <c r="A77">
        <f>'hours (1)'!A77</f>
        <v>66</v>
      </c>
      <c r="B77">
        <f>'hours (1)'!B77</f>
        <v>29494.29</v>
      </c>
      <c r="C77" s="6">
        <f t="shared" si="5"/>
        <v>0.98296494444392357</v>
      </c>
      <c r="D77" s="6">
        <f t="shared" si="12"/>
        <v>0.9666493658817259</v>
      </c>
      <c r="E77" s="9">
        <f t="shared" si="6"/>
        <v>64.194425019587612</v>
      </c>
      <c r="F77" s="7">
        <f t="shared" si="13"/>
        <v>65.759469070866004</v>
      </c>
      <c r="G77" s="7">
        <f t="shared" si="7"/>
        <v>66.30106796777963</v>
      </c>
      <c r="H77" s="7">
        <f t="shared" si="8"/>
        <v>0.12915854379685088</v>
      </c>
      <c r="I77" s="7">
        <f t="shared" si="9"/>
        <v>1.8917894390307077</v>
      </c>
      <c r="J77" t="b">
        <f t="shared" si="14"/>
        <v>0</v>
      </c>
      <c r="K77" s="7">
        <f t="shared" si="15"/>
        <v>66.30106796777963</v>
      </c>
      <c r="L77" s="7">
        <f t="shared" si="10"/>
        <v>0.30106796777963041</v>
      </c>
      <c r="M77">
        <f t="shared" si="16"/>
        <v>1</v>
      </c>
      <c r="N77">
        <f t="shared" si="17"/>
        <v>1</v>
      </c>
      <c r="O77" s="3">
        <f t="shared" si="11"/>
        <v>29360.358734281654</v>
      </c>
    </row>
    <row r="78" spans="1:15" x14ac:dyDescent="0.25">
      <c r="A78">
        <f>'hours (1)'!A78</f>
        <v>67</v>
      </c>
      <c r="B78">
        <f>'hours (1)'!B78</f>
        <v>7472.09</v>
      </c>
      <c r="C78" s="6">
        <f t="shared" si="5"/>
        <v>0.983019801993817</v>
      </c>
      <c r="D78" s="6">
        <f t="shared" si="12"/>
        <v>0.96700885407970749</v>
      </c>
      <c r="E78" s="9">
        <f t="shared" si="6"/>
        <v>65.194425019587612</v>
      </c>
      <c r="F78" s="7">
        <f t="shared" si="13"/>
        <v>66.759469070866004</v>
      </c>
      <c r="G78" s="7">
        <f t="shared" si="7"/>
        <v>67.30106796777963</v>
      </c>
      <c r="H78" s="7">
        <f t="shared" si="8"/>
        <v>0.12720858338394928</v>
      </c>
      <c r="I78" s="7">
        <f t="shared" si="9"/>
        <v>1.9678901126412549</v>
      </c>
      <c r="J78" t="b">
        <f t="shared" si="14"/>
        <v>0</v>
      </c>
      <c r="K78" s="7">
        <f t="shared" si="15"/>
        <v>67.30106796777963</v>
      </c>
      <c r="L78" s="7">
        <f t="shared" si="10"/>
        <v>0.30106796777963041</v>
      </c>
      <c r="M78">
        <f t="shared" si="16"/>
        <v>1</v>
      </c>
      <c r="N78">
        <f t="shared" si="17"/>
        <v>1</v>
      </c>
      <c r="O78" s="3">
        <f t="shared" si="11"/>
        <v>7438.6639784033814</v>
      </c>
    </row>
    <row r="79" spans="1:15" x14ac:dyDescent="0.25">
      <c r="A79">
        <f>'hours (1)'!A79</f>
        <v>68</v>
      </c>
      <c r="B79">
        <f>'hours (1)'!B79</f>
        <v>38388.75</v>
      </c>
      <c r="C79" s="6">
        <f t="shared" si="5"/>
        <v>0.98330163917303626</v>
      </c>
      <c r="D79" s="6">
        <f t="shared" si="12"/>
        <v>0.96710130679109374</v>
      </c>
      <c r="E79" s="9">
        <f t="shared" si="6"/>
        <v>66.194425019587612</v>
      </c>
      <c r="F79" s="7">
        <f t="shared" si="13"/>
        <v>67.759469070866004</v>
      </c>
      <c r="G79" s="7">
        <f t="shared" si="7"/>
        <v>68.30106796777963</v>
      </c>
      <c r="H79" s="7">
        <f t="shared" si="8"/>
        <v>0.1253166307506956</v>
      </c>
      <c r="I79" s="7">
        <f t="shared" si="9"/>
        <v>2.0449320041284436</v>
      </c>
      <c r="J79" t="b">
        <f t="shared" si="14"/>
        <v>0</v>
      </c>
      <c r="K79" s="7">
        <f t="shared" si="15"/>
        <v>68.30106796777963</v>
      </c>
      <c r="L79" s="7">
        <f t="shared" si="10"/>
        <v>0.30106796777963041</v>
      </c>
      <c r="M79">
        <f t="shared" si="16"/>
        <v>1</v>
      </c>
      <c r="N79">
        <f t="shared" si="17"/>
        <v>1</v>
      </c>
      <c r="O79" s="3">
        <f t="shared" si="11"/>
        <v>38219.534154743342</v>
      </c>
    </row>
    <row r="80" spans="1:15" x14ac:dyDescent="0.25">
      <c r="A80">
        <f>'hours (1)'!A80</f>
        <v>69</v>
      </c>
      <c r="B80">
        <f>'hours (1)'!B80</f>
        <v>7894.17</v>
      </c>
      <c r="C80" s="6">
        <f t="shared" si="5"/>
        <v>0.98335959549110019</v>
      </c>
      <c r="D80" s="6">
        <f t="shared" si="12"/>
        <v>0.96758338293352475</v>
      </c>
      <c r="E80" s="9">
        <f t="shared" si="6"/>
        <v>67.194425019587612</v>
      </c>
      <c r="F80" s="7">
        <f t="shared" si="13"/>
        <v>68.759469070866004</v>
      </c>
      <c r="G80" s="7">
        <f t="shared" si="7"/>
        <v>69.30106796777963</v>
      </c>
      <c r="H80" s="7">
        <f t="shared" si="8"/>
        <v>0.12348013519190676</v>
      </c>
      <c r="I80" s="7">
        <f t="shared" si="9"/>
        <v>2.1228868870972626</v>
      </c>
      <c r="J80" t="b">
        <f t="shared" si="14"/>
        <v>0</v>
      </c>
      <c r="K80" s="7">
        <f t="shared" si="15"/>
        <v>69.30106796777963</v>
      </c>
      <c r="L80" s="7">
        <f t="shared" si="10"/>
        <v>0.30106796777963041</v>
      </c>
      <c r="M80">
        <f t="shared" si="16"/>
        <v>1</v>
      </c>
      <c r="N80">
        <f t="shared" si="17"/>
        <v>1</v>
      </c>
      <c r="O80" s="3">
        <f t="shared" si="11"/>
        <v>7859.8749770097056</v>
      </c>
    </row>
    <row r="81" spans="1:15" x14ac:dyDescent="0.25">
      <c r="A81">
        <f>'hours (1)'!A81</f>
        <v>70</v>
      </c>
      <c r="B81">
        <f>'hours (1)'!B81</f>
        <v>943717.2</v>
      </c>
      <c r="C81" s="6">
        <f t="shared" si="5"/>
        <v>0.99028804701996365</v>
      </c>
      <c r="D81" s="6">
        <f t="shared" si="12"/>
        <v>0.96768397374711301</v>
      </c>
      <c r="E81" s="9">
        <f t="shared" si="6"/>
        <v>68.194425019587612</v>
      </c>
      <c r="F81" s="7">
        <f t="shared" si="13"/>
        <v>69.759469070866004</v>
      </c>
      <c r="G81" s="7">
        <f t="shared" si="7"/>
        <v>70.30106796777963</v>
      </c>
      <c r="H81" s="7">
        <f t="shared" si="8"/>
        <v>0.12169669339888725</v>
      </c>
      <c r="I81" s="7">
        <f t="shared" si="9"/>
        <v>2.2017277861491702</v>
      </c>
      <c r="J81" t="b">
        <f t="shared" si="14"/>
        <v>0</v>
      </c>
      <c r="K81" s="7">
        <f t="shared" si="15"/>
        <v>70.30106796777963</v>
      </c>
      <c r="L81" s="7">
        <f t="shared" si="10"/>
        <v>0.30106796777963041</v>
      </c>
      <c r="M81">
        <f t="shared" si="16"/>
        <v>1</v>
      </c>
      <c r="N81">
        <f t="shared" si="17"/>
        <v>1</v>
      </c>
      <c r="O81" s="3">
        <f t="shared" si="11"/>
        <v>939675.68217138178</v>
      </c>
    </row>
    <row r="82" spans="1:15" x14ac:dyDescent="0.25">
      <c r="A82">
        <f>'hours (1)'!A82</f>
        <v>71</v>
      </c>
      <c r="B82">
        <f>'hours (1)'!B82</f>
        <v>4730.99</v>
      </c>
      <c r="C82" s="6">
        <f t="shared" si="5"/>
        <v>0.99032278034356791</v>
      </c>
      <c r="D82" s="6">
        <f t="shared" si="12"/>
        <v>0.97988349157173937</v>
      </c>
      <c r="E82" s="9">
        <f t="shared" si="6"/>
        <v>69.194425019587612</v>
      </c>
      <c r="F82" s="7">
        <f t="shared" si="13"/>
        <v>70.759469070866004</v>
      </c>
      <c r="G82" s="7">
        <f t="shared" si="7"/>
        <v>71.30106796777963</v>
      </c>
      <c r="H82" s="7">
        <f t="shared" si="8"/>
        <v>0.11996403896334765</v>
      </c>
      <c r="I82" s="7">
        <f t="shared" si="9"/>
        <v>2.281428904031328</v>
      </c>
      <c r="J82" t="b">
        <f t="shared" si="14"/>
        <v>0</v>
      </c>
      <c r="K82" s="7">
        <f t="shared" si="15"/>
        <v>71.30106796777963</v>
      </c>
      <c r="L82" s="7">
        <f t="shared" si="10"/>
        <v>0.30106796777963041</v>
      </c>
      <c r="M82">
        <f t="shared" si="16"/>
        <v>1</v>
      </c>
      <c r="N82">
        <f t="shared" si="17"/>
        <v>1</v>
      </c>
      <c r="O82" s="3">
        <f t="shared" si="11"/>
        <v>4711.0134472570671</v>
      </c>
    </row>
    <row r="83" spans="1:15" x14ac:dyDescent="0.25">
      <c r="A83">
        <f>'hours (1)'!A83</f>
        <v>72</v>
      </c>
      <c r="B83">
        <f>'hours (1)'!B83</f>
        <v>165626.79999999999</v>
      </c>
      <c r="C83" s="6">
        <f t="shared" si="5"/>
        <v>0.99153875612071884</v>
      </c>
      <c r="D83" s="6">
        <f t="shared" si="12"/>
        <v>0.97994552319330619</v>
      </c>
      <c r="E83" s="9">
        <f t="shared" si="6"/>
        <v>70.194425019587612</v>
      </c>
      <c r="F83" s="7">
        <f t="shared" ref="F83:F103" si="18">$A83-$B$5*$B$12*$B$4*$B$9</f>
        <v>71.759469070866004</v>
      </c>
      <c r="G83" s="7">
        <f t="shared" si="7"/>
        <v>72.30106796777963</v>
      </c>
      <c r="H83" s="7">
        <f t="shared" si="8"/>
        <v>0.11828003276569775</v>
      </c>
      <c r="I83" s="7">
        <f t="shared" si="9"/>
        <v>2.3619655540128308</v>
      </c>
      <c r="J83" t="b">
        <f t="shared" ref="J83:J103" si="19">F83&lt;=$B$14</f>
        <v>0</v>
      </c>
      <c r="K83" s="7">
        <f t="shared" ref="K83:K103" si="20">IF(J83,F83,IF(H83&lt;I83,G83,$B$14))</f>
        <v>72.30106796777963</v>
      </c>
      <c r="L83" s="7">
        <f t="shared" si="10"/>
        <v>0.30106796777963041</v>
      </c>
      <c r="M83">
        <f t="shared" ref="M83:M103" si="21">IF($A83&gt;$B$15,1,0)</f>
        <v>1</v>
      </c>
      <c r="N83">
        <f t="shared" ref="N83:N103" si="22">IF($K83&gt;$B$15,1,0)</f>
        <v>1</v>
      </c>
      <c r="O83" s="3">
        <f t="shared" si="11"/>
        <v>164937.11552524142</v>
      </c>
    </row>
    <row r="84" spans="1:15" x14ac:dyDescent="0.25">
      <c r="A84">
        <f>'hours (1)'!A84</f>
        <v>73</v>
      </c>
      <c r="B84">
        <f>'hours (1)'!B84</f>
        <v>3488.9050000000002</v>
      </c>
      <c r="C84" s="6">
        <f t="shared" ref="C84:C103" si="23">B84/$B$105+C83</f>
        <v>0.99156437047762713</v>
      </c>
      <c r="D84" s="6">
        <f t="shared" si="12"/>
        <v>0.98214776936130443</v>
      </c>
      <c r="E84" s="9">
        <f t="shared" ref="E84:E103" si="24">$A84-$B$5*((1-$B$16)*$B$4*$B$9+$B$11)</f>
        <v>71.194425019587612</v>
      </c>
      <c r="F84" s="7">
        <f t="shared" si="18"/>
        <v>72.759469070866004</v>
      </c>
      <c r="G84" s="7">
        <f t="shared" ref="G84:G103" si="25">F84+$B$5*$B$13*(1-$B$16-$B$12)</f>
        <v>73.30106796777963</v>
      </c>
      <c r="H84" s="7">
        <f t="shared" ref="H84:H103" si="26">($E84/G84-1+LN(G84/$E84))/$B$5+($B$13+$B$4*$B$9)*(1-$B$16-$B$12)/G84+$B$11/G84</f>
        <v>0.11664265416198159</v>
      </c>
      <c r="I84" s="7">
        <f t="shared" ref="I84:I103" si="27">($E84/$B$14-1+LN($B$14/$E84))/$B$5+$B$4*$B$9*(1-$B$16-$B$12)/$B$14+$B$11/$B$14</f>
        <v>2.4433140970442779</v>
      </c>
      <c r="J84" t="b">
        <f t="shared" si="19"/>
        <v>0</v>
      </c>
      <c r="K84" s="7">
        <f t="shared" si="20"/>
        <v>73.30106796777963</v>
      </c>
      <c r="L84" s="7">
        <f t="shared" ref="L84:L103" si="28">K84-$A84</f>
        <v>0.30106796777963041</v>
      </c>
      <c r="M84">
        <f t="shared" si="21"/>
        <v>1</v>
      </c>
      <c r="N84">
        <f t="shared" si="22"/>
        <v>1</v>
      </c>
      <c r="O84" s="3">
        <f t="shared" ref="O84:O103" si="29">$B84*$A84/$K84</f>
        <v>3474.5750923022306</v>
      </c>
    </row>
    <row r="85" spans="1:15" x14ac:dyDescent="0.25">
      <c r="A85">
        <f>'hours (1)'!A85</f>
        <v>74</v>
      </c>
      <c r="B85">
        <f>'hours (1)'!B85</f>
        <v>12714.73</v>
      </c>
      <c r="C85" s="6">
        <f t="shared" si="23"/>
        <v>0.99165771771184896</v>
      </c>
      <c r="D85" s="6">
        <f t="shared" ref="D85:D103" si="30">$A84*$B84/$A$105+D84</f>
        <v>0.98219480366939893</v>
      </c>
      <c r="E85" s="9">
        <f t="shared" si="24"/>
        <v>72.194425019587612</v>
      </c>
      <c r="F85" s="7">
        <f t="shared" si="18"/>
        <v>73.759469070866004</v>
      </c>
      <c r="G85" s="7">
        <f t="shared" si="25"/>
        <v>74.30106796777963</v>
      </c>
      <c r="H85" s="7">
        <f t="shared" si="26"/>
        <v>0.11504999289309459</v>
      </c>
      <c r="I85" s="7">
        <f t="shared" si="27"/>
        <v>2.5254518833002746</v>
      </c>
      <c r="J85" t="b">
        <f t="shared" si="19"/>
        <v>0</v>
      </c>
      <c r="K85" s="7">
        <f t="shared" si="20"/>
        <v>74.30106796777963</v>
      </c>
      <c r="L85" s="7">
        <f t="shared" si="28"/>
        <v>0.30106796777963041</v>
      </c>
      <c r="M85">
        <f t="shared" si="21"/>
        <v>1</v>
      </c>
      <c r="N85">
        <f t="shared" si="22"/>
        <v>1</v>
      </c>
      <c r="O85" s="3">
        <f t="shared" si="29"/>
        <v>12663.209907130989</v>
      </c>
    </row>
    <row r="86" spans="1:15" x14ac:dyDescent="0.25">
      <c r="A86">
        <f>'hours (1)'!A86</f>
        <v>75</v>
      </c>
      <c r="B86">
        <f>'hours (1)'!B86</f>
        <v>126759.7</v>
      </c>
      <c r="C86" s="6">
        <f t="shared" si="23"/>
        <v>0.99258834442635968</v>
      </c>
      <c r="D86" s="6">
        <f t="shared" si="30"/>
        <v>0.98236856039243303</v>
      </c>
      <c r="E86" s="9">
        <f t="shared" si="24"/>
        <v>73.194425019587612</v>
      </c>
      <c r="F86" s="7">
        <f t="shared" si="18"/>
        <v>74.759469070866004</v>
      </c>
      <c r="G86" s="7">
        <f t="shared" si="25"/>
        <v>75.30106796777963</v>
      </c>
      <c r="H86" s="7">
        <f t="shared" si="26"/>
        <v>0.11350024164812873</v>
      </c>
      <c r="I86" s="7">
        <f t="shared" si="27"/>
        <v>2.6083571977431244</v>
      </c>
      <c r="J86" t="b">
        <f t="shared" si="19"/>
        <v>0</v>
      </c>
      <c r="K86" s="7">
        <f t="shared" si="20"/>
        <v>75.30106796777963</v>
      </c>
      <c r="L86" s="7">
        <f t="shared" si="28"/>
        <v>0.30106796777963041</v>
      </c>
      <c r="M86">
        <f t="shared" si="21"/>
        <v>1</v>
      </c>
      <c r="N86">
        <f t="shared" si="22"/>
        <v>1</v>
      </c>
      <c r="O86" s="3">
        <f t="shared" si="29"/>
        <v>126252.8906504741</v>
      </c>
    </row>
    <row r="87" spans="1:15" x14ac:dyDescent="0.25">
      <c r="A87">
        <f>'hours (1)'!A87</f>
        <v>76</v>
      </c>
      <c r="B87">
        <f>'hours (1)'!B87</f>
        <v>10765.95</v>
      </c>
      <c r="C87" s="6">
        <f t="shared" si="23"/>
        <v>0.99266738437893998</v>
      </c>
      <c r="D87" s="6">
        <f t="shared" si="30"/>
        <v>0.98412423982493324</v>
      </c>
      <c r="E87" s="9">
        <f t="shared" si="24"/>
        <v>74.194425019587612</v>
      </c>
      <c r="F87" s="7">
        <f t="shared" si="18"/>
        <v>75.759469070866004</v>
      </c>
      <c r="G87" s="7">
        <f t="shared" si="25"/>
        <v>76.30106796777963</v>
      </c>
      <c r="H87" s="7">
        <f t="shared" si="26"/>
        <v>0.11199168922098657</v>
      </c>
      <c r="I87" s="7">
        <f t="shared" si="27"/>
        <v>2.6920092093802377</v>
      </c>
      <c r="J87" t="b">
        <f t="shared" si="19"/>
        <v>0</v>
      </c>
      <c r="K87" s="7">
        <f t="shared" si="20"/>
        <v>76.30106796777963</v>
      </c>
      <c r="L87" s="7">
        <f t="shared" si="28"/>
        <v>0.30106796777963041</v>
      </c>
      <c r="M87">
        <f t="shared" si="21"/>
        <v>1</v>
      </c>
      <c r="N87">
        <f t="shared" si="22"/>
        <v>1</v>
      </c>
      <c r="O87" s="3">
        <f t="shared" si="29"/>
        <v>10723.469825422551</v>
      </c>
    </row>
    <row r="88" spans="1:15" x14ac:dyDescent="0.25">
      <c r="A88">
        <f>'hours (1)'!A88</f>
        <v>77</v>
      </c>
      <c r="B88">
        <f>'hours (1)'!B88</f>
        <v>16431.21</v>
      </c>
      <c r="C88" s="6">
        <f t="shared" si="23"/>
        <v>0.99278801674851591</v>
      </c>
      <c r="D88" s="6">
        <f t="shared" si="30"/>
        <v>0.98427534130076622</v>
      </c>
      <c r="E88" s="9">
        <f t="shared" si="24"/>
        <v>75.194425019587612</v>
      </c>
      <c r="F88" s="7">
        <f t="shared" si="18"/>
        <v>76.759469070866004</v>
      </c>
      <c r="G88" s="7">
        <f t="shared" si="25"/>
        <v>77.30106796777963</v>
      </c>
      <c r="H88" s="7">
        <f t="shared" si="26"/>
        <v>0.11052271420575177</v>
      </c>
      <c r="I88" s="7">
        <f t="shared" si="27"/>
        <v>2.7763879239185312</v>
      </c>
      <c r="J88" t="b">
        <f t="shared" si="19"/>
        <v>0</v>
      </c>
      <c r="K88" s="7">
        <f t="shared" si="20"/>
        <v>77.30106796777963</v>
      </c>
      <c r="L88" s="7">
        <f t="shared" si="28"/>
        <v>0.30106796777963041</v>
      </c>
      <c r="M88">
        <f t="shared" si="21"/>
        <v>1</v>
      </c>
      <c r="N88">
        <f t="shared" si="22"/>
        <v>1</v>
      </c>
      <c r="O88" s="3">
        <f t="shared" si="29"/>
        <v>16367.214622796126</v>
      </c>
    </row>
    <row r="89" spans="1:15" x14ac:dyDescent="0.25">
      <c r="A89">
        <f>'hours (1)'!A89</f>
        <v>78</v>
      </c>
      <c r="B89">
        <f>'hours (1)'!B89</f>
        <v>12450.61</v>
      </c>
      <c r="C89" s="6">
        <f t="shared" si="23"/>
        <v>0.99287942490329972</v>
      </c>
      <c r="D89" s="6">
        <f t="shared" si="30"/>
        <v>0.98450898981665924</v>
      </c>
      <c r="E89" s="9">
        <f t="shared" si="24"/>
        <v>76.194425019587612</v>
      </c>
      <c r="F89" s="7">
        <f t="shared" si="18"/>
        <v>77.759469070866004</v>
      </c>
      <c r="G89" s="7">
        <f t="shared" si="25"/>
        <v>78.30106796777963</v>
      </c>
      <c r="H89" s="7">
        <f t="shared" si="26"/>
        <v>0.10909177918197052</v>
      </c>
      <c r="I89" s="7">
        <f t="shared" si="27"/>
        <v>2.8614741395465453</v>
      </c>
      <c r="J89" t="b">
        <f t="shared" si="19"/>
        <v>0</v>
      </c>
      <c r="K89" s="7">
        <f t="shared" si="20"/>
        <v>78.30106796777963</v>
      </c>
      <c r="L89" s="7">
        <f t="shared" si="28"/>
        <v>0.30106796777963041</v>
      </c>
      <c r="M89">
        <f t="shared" si="21"/>
        <v>1</v>
      </c>
      <c r="N89">
        <f t="shared" si="22"/>
        <v>1</v>
      </c>
      <c r="O89" s="3">
        <f t="shared" si="29"/>
        <v>12402.737347077065</v>
      </c>
    </row>
    <row r="90" spans="1:15" x14ac:dyDescent="0.25">
      <c r="A90">
        <f>'hours (1)'!A90</f>
        <v>80</v>
      </c>
      <c r="B90">
        <f>'hours (1)'!B90</f>
        <v>531263.1</v>
      </c>
      <c r="C90" s="6">
        <f t="shared" si="23"/>
        <v>0.99677977835391363</v>
      </c>
      <c r="D90" s="6">
        <f t="shared" si="30"/>
        <v>0.98468833428572189</v>
      </c>
      <c r="E90" s="9">
        <f t="shared" si="24"/>
        <v>78.194425019587612</v>
      </c>
      <c r="F90" s="7">
        <f t="shared" si="18"/>
        <v>79.759469070866004</v>
      </c>
      <c r="G90" s="7">
        <f t="shared" si="25"/>
        <v>80.30106796777963</v>
      </c>
      <c r="H90" s="7">
        <f t="shared" si="26"/>
        <v>0.1063382675490431</v>
      </c>
      <c r="I90" s="7">
        <f t="shared" si="27"/>
        <v>3.0336959838848427</v>
      </c>
      <c r="J90" t="b">
        <f t="shared" si="19"/>
        <v>0</v>
      </c>
      <c r="K90" s="7">
        <f t="shared" si="20"/>
        <v>80.30106796777963</v>
      </c>
      <c r="L90" s="7">
        <f t="shared" si="28"/>
        <v>0.30106796777963041</v>
      </c>
      <c r="M90">
        <f t="shared" si="21"/>
        <v>1</v>
      </c>
      <c r="N90">
        <f t="shared" si="22"/>
        <v>1</v>
      </c>
      <c r="O90" s="3">
        <f t="shared" si="29"/>
        <v>529271.26718978782</v>
      </c>
    </row>
    <row r="91" spans="1:15" x14ac:dyDescent="0.25">
      <c r="A91">
        <f>'hours (1)'!A91</f>
        <v>82</v>
      </c>
      <c r="B91">
        <f>'hours (1)'!B91</f>
        <v>6209.24</v>
      </c>
      <c r="C91" s="6">
        <f t="shared" si="23"/>
        <v>0.99682536448752557</v>
      </c>
      <c r="D91" s="6">
        <f t="shared" si="30"/>
        <v>0.99253711859527838</v>
      </c>
      <c r="E91" s="9">
        <f t="shared" si="24"/>
        <v>80.194425019587612</v>
      </c>
      <c r="F91" s="7">
        <f t="shared" si="18"/>
        <v>81.759469070866004</v>
      </c>
      <c r="G91" s="7">
        <f t="shared" si="25"/>
        <v>82.30106796777963</v>
      </c>
      <c r="H91" s="7">
        <f t="shared" si="26"/>
        <v>0.10372034054496729</v>
      </c>
      <c r="I91" s="7">
        <f t="shared" si="27"/>
        <v>3.2085354717122749</v>
      </c>
      <c r="J91" t="b">
        <f t="shared" si="19"/>
        <v>0</v>
      </c>
      <c r="K91" s="7">
        <f t="shared" si="20"/>
        <v>82.30106796777963</v>
      </c>
      <c r="L91" s="7">
        <f t="shared" si="28"/>
        <v>0.30106796777963041</v>
      </c>
      <c r="M91">
        <f t="shared" si="21"/>
        <v>1</v>
      </c>
      <c r="N91">
        <f t="shared" si="22"/>
        <v>1</v>
      </c>
      <c r="O91" s="3">
        <f t="shared" si="29"/>
        <v>6186.5257957446211</v>
      </c>
    </row>
    <row r="92" spans="1:15" x14ac:dyDescent="0.25">
      <c r="A92">
        <f>'hours (1)'!A92</f>
        <v>84</v>
      </c>
      <c r="B92">
        <f>'hours (1)'!B92</f>
        <v>99227.9</v>
      </c>
      <c r="C92" s="6">
        <f t="shared" si="23"/>
        <v>0.99755386206652585</v>
      </c>
      <c r="D92" s="6">
        <f t="shared" si="30"/>
        <v>0.99263114613101999</v>
      </c>
      <c r="E92" s="9">
        <f t="shared" si="24"/>
        <v>82.194425019587612</v>
      </c>
      <c r="F92" s="7">
        <f t="shared" si="18"/>
        <v>83.759469070866004</v>
      </c>
      <c r="G92" s="7">
        <f t="shared" si="25"/>
        <v>84.30106796777963</v>
      </c>
      <c r="H92" s="7">
        <f t="shared" si="26"/>
        <v>0.10122822387410318</v>
      </c>
      <c r="I92" s="7">
        <f t="shared" si="27"/>
        <v>3.3858636261531787</v>
      </c>
      <c r="J92" t="b">
        <f t="shared" si="19"/>
        <v>0</v>
      </c>
      <c r="K92" s="7">
        <f t="shared" si="20"/>
        <v>84.30106796777963</v>
      </c>
      <c r="L92" s="7">
        <f t="shared" si="28"/>
        <v>0.30106796777963041</v>
      </c>
      <c r="M92">
        <f t="shared" si="21"/>
        <v>1</v>
      </c>
      <c r="N92">
        <f t="shared" si="22"/>
        <v>1</v>
      </c>
      <c r="O92" s="3">
        <f t="shared" si="29"/>
        <v>98873.523205966281</v>
      </c>
    </row>
    <row r="93" spans="1:15" x14ac:dyDescent="0.25">
      <c r="A93">
        <f>'hours (1)'!A93</f>
        <v>85</v>
      </c>
      <c r="B93">
        <f>'hours (1)'!B93</f>
        <v>40490.76</v>
      </c>
      <c r="C93" s="6">
        <f t="shared" si="23"/>
        <v>0.99785113149006377</v>
      </c>
      <c r="D93" s="6">
        <f t="shared" si="30"/>
        <v>0.9941704198050616</v>
      </c>
      <c r="E93" s="9">
        <f t="shared" si="24"/>
        <v>83.194425019587612</v>
      </c>
      <c r="F93" s="7">
        <f t="shared" si="18"/>
        <v>84.759469070866004</v>
      </c>
      <c r="G93" s="7">
        <f t="shared" si="25"/>
        <v>85.30106796777963</v>
      </c>
      <c r="H93" s="7">
        <f t="shared" si="26"/>
        <v>0.10002654380547611</v>
      </c>
      <c r="I93" s="7">
        <f t="shared" si="27"/>
        <v>3.4754232166758889</v>
      </c>
      <c r="J93" t="b">
        <f t="shared" si="19"/>
        <v>0</v>
      </c>
      <c r="K93" s="7">
        <f t="shared" si="20"/>
        <v>85.30106796777963</v>
      </c>
      <c r="L93" s="7">
        <f t="shared" si="28"/>
        <v>0.30106796777963041</v>
      </c>
      <c r="M93">
        <f t="shared" si="21"/>
        <v>1</v>
      </c>
      <c r="N93">
        <f t="shared" si="22"/>
        <v>1</v>
      </c>
      <c r="O93" s="3">
        <f t="shared" si="29"/>
        <v>40347.848883908729</v>
      </c>
    </row>
    <row r="94" spans="1:15" x14ac:dyDescent="0.25">
      <c r="A94">
        <f>'hours (1)'!A94</f>
        <v>86</v>
      </c>
      <c r="B94">
        <f>'hours (1)'!B94</f>
        <v>3958.3539999999998</v>
      </c>
      <c r="C94" s="6">
        <f t="shared" si="23"/>
        <v>0.99788019238227077</v>
      </c>
      <c r="D94" s="6">
        <f t="shared" si="30"/>
        <v>0.99480601061567997</v>
      </c>
      <c r="E94" s="9">
        <f t="shared" si="24"/>
        <v>84.194425019587612</v>
      </c>
      <c r="F94" s="7">
        <f t="shared" si="18"/>
        <v>85.759469070866004</v>
      </c>
      <c r="G94" s="7">
        <f t="shared" si="25"/>
        <v>86.30106796777963</v>
      </c>
      <c r="H94" s="7">
        <f t="shared" si="26"/>
        <v>9.8853060746231222E-2</v>
      </c>
      <c r="I94" s="7">
        <f t="shared" si="27"/>
        <v>3.5655607740328596</v>
      </c>
      <c r="J94" t="b">
        <f t="shared" si="19"/>
        <v>0</v>
      </c>
      <c r="K94" s="7">
        <f t="shared" si="20"/>
        <v>86.30106796777963</v>
      </c>
      <c r="L94" s="7">
        <f t="shared" si="28"/>
        <v>0.30106796777963041</v>
      </c>
      <c r="M94">
        <f t="shared" si="21"/>
        <v>1</v>
      </c>
      <c r="N94">
        <f t="shared" si="22"/>
        <v>1</v>
      </c>
      <c r="O94" s="3">
        <f t="shared" si="29"/>
        <v>3944.5449751223782</v>
      </c>
    </row>
    <row r="95" spans="1:15" x14ac:dyDescent="0.25">
      <c r="A95">
        <f>'hours (1)'!A95</f>
        <v>87</v>
      </c>
      <c r="B95">
        <f>'hours (1)'!B95</f>
        <v>2262.6280000000002</v>
      </c>
      <c r="C95" s="6">
        <f t="shared" si="23"/>
        <v>0.99789680382945622</v>
      </c>
      <c r="D95" s="6">
        <f t="shared" si="30"/>
        <v>0.9948688766170537</v>
      </c>
      <c r="E95" s="9">
        <f t="shared" si="24"/>
        <v>85.194425019587612</v>
      </c>
      <c r="F95" s="7">
        <f t="shared" si="18"/>
        <v>86.759469070866004</v>
      </c>
      <c r="G95" s="7">
        <f t="shared" si="25"/>
        <v>87.30106796777963</v>
      </c>
      <c r="H95" s="7">
        <f t="shared" si="26"/>
        <v>9.7706793706635958E-2</v>
      </c>
      <c r="I95" s="7">
        <f t="shared" si="27"/>
        <v>3.656262649457461</v>
      </c>
      <c r="J95" t="b">
        <f t="shared" si="19"/>
        <v>0</v>
      </c>
      <c r="K95" s="7">
        <f t="shared" si="20"/>
        <v>87.30106796777963</v>
      </c>
      <c r="L95" s="7">
        <f t="shared" si="28"/>
        <v>0.30106796777963041</v>
      </c>
      <c r="M95">
        <f t="shared" si="21"/>
        <v>1</v>
      </c>
      <c r="N95">
        <f t="shared" si="22"/>
        <v>1</v>
      </c>
      <c r="O95" s="3">
        <f t="shared" si="29"/>
        <v>2254.8250620788663</v>
      </c>
    </row>
    <row r="96" spans="1:15" x14ac:dyDescent="0.25">
      <c r="A96">
        <f>'hours (1)'!A96</f>
        <v>89</v>
      </c>
      <c r="B96">
        <f>'hours (1)'!B96</f>
        <v>1479.48</v>
      </c>
      <c r="C96" s="6">
        <f t="shared" si="23"/>
        <v>0.99790766566970657</v>
      </c>
      <c r="D96" s="6">
        <f t="shared" si="30"/>
        <v>0.9949052291908913</v>
      </c>
      <c r="E96" s="9">
        <f t="shared" si="24"/>
        <v>87.194425019587612</v>
      </c>
      <c r="F96" s="7">
        <f t="shared" si="18"/>
        <v>88.759469070866004</v>
      </c>
      <c r="G96" s="7">
        <f t="shared" si="25"/>
        <v>89.30106796777963</v>
      </c>
      <c r="H96" s="7">
        <f t="shared" si="26"/>
        <v>9.5492206108300448E-2</v>
      </c>
      <c r="I96" s="7">
        <f t="shared" si="27"/>
        <v>3.8393071265928382</v>
      </c>
      <c r="J96" t="b">
        <f t="shared" si="19"/>
        <v>0</v>
      </c>
      <c r="K96" s="7">
        <f t="shared" si="20"/>
        <v>89.30106796777963</v>
      </c>
      <c r="L96" s="7">
        <f t="shared" si="28"/>
        <v>0.30106796777963041</v>
      </c>
      <c r="M96">
        <f t="shared" si="21"/>
        <v>1</v>
      </c>
      <c r="N96">
        <f t="shared" si="22"/>
        <v>1</v>
      </c>
      <c r="O96" s="3">
        <f t="shared" si="29"/>
        <v>1474.4921085099304</v>
      </c>
    </row>
    <row r="97" spans="1:15" x14ac:dyDescent="0.25">
      <c r="A97">
        <f>'hours (1)'!A97</f>
        <v>90</v>
      </c>
      <c r="B97">
        <f>'hours (1)'!B97</f>
        <v>65667.17</v>
      </c>
      <c r="C97" s="6">
        <f t="shared" si="23"/>
        <v>0.99838977175443477</v>
      </c>
      <c r="D97" s="6">
        <f t="shared" si="30"/>
        <v>0.99492954573545078</v>
      </c>
      <c r="E97" s="9">
        <f t="shared" si="24"/>
        <v>88.194425019587612</v>
      </c>
      <c r="F97" s="7">
        <f t="shared" si="18"/>
        <v>89.759469070866004</v>
      </c>
      <c r="G97" s="7">
        <f t="shared" si="25"/>
        <v>90.30106796777963</v>
      </c>
      <c r="H97" s="7">
        <f t="shared" si="26"/>
        <v>9.4422138473601369E-2</v>
      </c>
      <c r="I97" s="7">
        <f t="shared" si="27"/>
        <v>3.9316247330323693</v>
      </c>
      <c r="J97" t="b">
        <f t="shared" si="19"/>
        <v>0</v>
      </c>
      <c r="K97" s="7">
        <f t="shared" si="20"/>
        <v>90.30106796777963</v>
      </c>
      <c r="L97" s="7">
        <f t="shared" si="28"/>
        <v>0.30106796777963041</v>
      </c>
      <c r="M97">
        <f t="shared" si="21"/>
        <v>1</v>
      </c>
      <c r="N97">
        <f t="shared" si="22"/>
        <v>1</v>
      </c>
      <c r="O97" s="3">
        <f t="shared" si="29"/>
        <v>65448.232595751426</v>
      </c>
    </row>
    <row r="98" spans="1:15" x14ac:dyDescent="0.25">
      <c r="A98">
        <f>'hours (1)'!A98</f>
        <v>91</v>
      </c>
      <c r="B98">
        <f>'hours (1)'!B98</f>
        <v>8320.6910000000007</v>
      </c>
      <c r="C98" s="6">
        <f t="shared" si="23"/>
        <v>0.99845085944498457</v>
      </c>
      <c r="D98" s="6">
        <f t="shared" si="30"/>
        <v>0.99602096990031863</v>
      </c>
      <c r="E98" s="9">
        <f t="shared" si="24"/>
        <v>89.194425019587612</v>
      </c>
      <c r="F98" s="7">
        <f t="shared" si="18"/>
        <v>90.759469070866004</v>
      </c>
      <c r="G98" s="7">
        <f t="shared" si="25"/>
        <v>91.30106796777963</v>
      </c>
      <c r="H98" s="7">
        <f t="shared" si="26"/>
        <v>9.3375788108520458E-2</v>
      </c>
      <c r="I98" s="7">
        <f t="shared" si="27"/>
        <v>4.024456626586927</v>
      </c>
      <c r="J98" t="b">
        <f t="shared" si="19"/>
        <v>0</v>
      </c>
      <c r="K98" s="7">
        <f t="shared" si="20"/>
        <v>91.30106796777963</v>
      </c>
      <c r="L98" s="7">
        <f t="shared" si="28"/>
        <v>0.30106796777963041</v>
      </c>
      <c r="M98">
        <f t="shared" si="21"/>
        <v>1</v>
      </c>
      <c r="N98">
        <f t="shared" si="22"/>
        <v>1</v>
      </c>
      <c r="O98" s="3">
        <f t="shared" si="29"/>
        <v>8293.2532757142744</v>
      </c>
    </row>
    <row r="99" spans="1:15" x14ac:dyDescent="0.25">
      <c r="A99">
        <f>'hours (1)'!A99</f>
        <v>94</v>
      </c>
      <c r="B99">
        <f>'hours (1)'!B99</f>
        <v>1838.39</v>
      </c>
      <c r="C99" s="6">
        <f t="shared" si="23"/>
        <v>0.99846435628069563</v>
      </c>
      <c r="D99" s="6">
        <f t="shared" si="30"/>
        <v>0.99616080092556436</v>
      </c>
      <c r="E99" s="9">
        <f t="shared" si="24"/>
        <v>92.194425019587612</v>
      </c>
      <c r="F99" s="7">
        <f t="shared" si="18"/>
        <v>93.759469070866004</v>
      </c>
      <c r="G99" s="7">
        <f t="shared" si="25"/>
        <v>94.30106796777963</v>
      </c>
      <c r="H99" s="7">
        <f t="shared" si="26"/>
        <v>9.0371408883735446E-2</v>
      </c>
      <c r="I99" s="7">
        <f t="shared" si="27"/>
        <v>4.3059252311670448</v>
      </c>
      <c r="J99" t="b">
        <f t="shared" si="19"/>
        <v>0</v>
      </c>
      <c r="K99" s="7">
        <f t="shared" si="20"/>
        <v>94.30106796777963</v>
      </c>
      <c r="L99" s="7">
        <f t="shared" si="28"/>
        <v>0.30106796777963041</v>
      </c>
      <c r="M99">
        <f t="shared" si="21"/>
        <v>1</v>
      </c>
      <c r="N99">
        <f t="shared" si="22"/>
        <v>1</v>
      </c>
      <c r="O99" s="3">
        <f t="shared" si="29"/>
        <v>1832.520709723505</v>
      </c>
    </row>
    <row r="100" spans="1:15" x14ac:dyDescent="0.25">
      <c r="A100">
        <f>'hours (1)'!A100</f>
        <v>95</v>
      </c>
      <c r="B100">
        <f>'hours (1)'!B100</f>
        <v>4809.4799999999996</v>
      </c>
      <c r="C100" s="6">
        <f t="shared" si="23"/>
        <v>0.99849966585125238</v>
      </c>
      <c r="D100" s="6">
        <f t="shared" si="30"/>
        <v>0.99619271397154774</v>
      </c>
      <c r="E100" s="9">
        <f t="shared" si="24"/>
        <v>93.194425019587612</v>
      </c>
      <c r="F100" s="7">
        <f t="shared" si="18"/>
        <v>94.759469070866004</v>
      </c>
      <c r="G100" s="7">
        <f t="shared" si="25"/>
        <v>95.30106796777963</v>
      </c>
      <c r="H100" s="7">
        <f t="shared" si="26"/>
        <v>8.9412457835563869E-2</v>
      </c>
      <c r="I100" s="7">
        <f t="shared" si="27"/>
        <v>4.4007033058633525</v>
      </c>
      <c r="J100" t="b">
        <f t="shared" si="19"/>
        <v>0</v>
      </c>
      <c r="K100" s="7">
        <f t="shared" si="20"/>
        <v>95.30106796777963</v>
      </c>
      <c r="L100" s="7">
        <f t="shared" si="28"/>
        <v>0.30106796777963041</v>
      </c>
      <c r="M100">
        <f t="shared" si="21"/>
        <v>1</v>
      </c>
      <c r="N100">
        <f t="shared" si="22"/>
        <v>1</v>
      </c>
      <c r="O100" s="3">
        <f t="shared" si="29"/>
        <v>4794.286252431858</v>
      </c>
    </row>
    <row r="101" spans="1:15" x14ac:dyDescent="0.25">
      <c r="A101">
        <f>'hours (1)'!A101</f>
        <v>96</v>
      </c>
      <c r="B101">
        <f>'hours (1)'!B101</f>
        <v>21508.49</v>
      </c>
      <c r="C101" s="6">
        <f t="shared" si="23"/>
        <v>0.9986575738881347</v>
      </c>
      <c r="D101" s="6">
        <f t="shared" si="30"/>
        <v>0.99627709104997431</v>
      </c>
      <c r="E101" s="9">
        <f t="shared" si="24"/>
        <v>94.194425019587612</v>
      </c>
      <c r="F101" s="7">
        <f t="shared" si="18"/>
        <v>95.759469070866004</v>
      </c>
      <c r="G101" s="7">
        <f t="shared" si="25"/>
        <v>96.30106796777963</v>
      </c>
      <c r="H101" s="7">
        <f t="shared" si="26"/>
        <v>8.8473645208032609E-2</v>
      </c>
      <c r="I101" s="7">
        <f t="shared" si="27"/>
        <v>4.4959419606154754</v>
      </c>
      <c r="J101" t="b">
        <f t="shared" si="19"/>
        <v>0</v>
      </c>
      <c r="K101" s="7">
        <f t="shared" si="20"/>
        <v>96.30106796777963</v>
      </c>
      <c r="L101" s="7">
        <f t="shared" si="28"/>
        <v>0.30106796777963041</v>
      </c>
      <c r="M101">
        <f t="shared" si="21"/>
        <v>1</v>
      </c>
      <c r="N101">
        <f t="shared" si="22"/>
        <v>1</v>
      </c>
      <c r="O101" s="3">
        <f t="shared" si="29"/>
        <v>21441.247574646262</v>
      </c>
    </row>
    <row r="102" spans="1:15" x14ac:dyDescent="0.25">
      <c r="A102">
        <f>'hours (1)'!A102</f>
        <v>98</v>
      </c>
      <c r="B102">
        <f>'hours (1)'!B102</f>
        <v>7515.9690000000001</v>
      </c>
      <c r="C102" s="6">
        <f t="shared" si="23"/>
        <v>0.99871275358276035</v>
      </c>
      <c r="D102" s="6">
        <f t="shared" si="30"/>
        <v>0.99665840606809075</v>
      </c>
      <c r="E102" s="9">
        <f t="shared" si="24"/>
        <v>96.194425019587612</v>
      </c>
      <c r="F102" s="7">
        <f t="shared" si="18"/>
        <v>97.759469070866004</v>
      </c>
      <c r="G102" s="7">
        <f t="shared" si="25"/>
        <v>98.30106796777963</v>
      </c>
      <c r="H102" s="7">
        <f t="shared" si="26"/>
        <v>8.665394981274134E-2</v>
      </c>
      <c r="I102" s="7">
        <f t="shared" si="27"/>
        <v>4.687762403323525</v>
      </c>
      <c r="J102" t="b">
        <f t="shared" si="19"/>
        <v>0</v>
      </c>
      <c r="K102" s="7">
        <f t="shared" si="20"/>
        <v>98.30106796777963</v>
      </c>
      <c r="L102" s="7">
        <f t="shared" si="28"/>
        <v>0.30106796777963041</v>
      </c>
      <c r="M102">
        <f t="shared" si="21"/>
        <v>1</v>
      </c>
      <c r="N102">
        <f t="shared" si="22"/>
        <v>1</v>
      </c>
      <c r="O102" s="3">
        <f t="shared" si="29"/>
        <v>7492.9497433479119</v>
      </c>
    </row>
    <row r="103" spans="1:15" x14ac:dyDescent="0.25">
      <c r="A103">
        <f>'hours (1)'!A103</f>
        <v>99</v>
      </c>
      <c r="B103">
        <f>'hours (1)'!B103</f>
        <v>175334.5</v>
      </c>
      <c r="C103">
        <f t="shared" si="23"/>
        <v>1</v>
      </c>
      <c r="D103" s="6">
        <f t="shared" si="30"/>
        <v>0.99679442952607034</v>
      </c>
      <c r="E103" s="9">
        <f t="shared" si="24"/>
        <v>97.194425019587612</v>
      </c>
      <c r="F103" s="7">
        <f t="shared" si="18"/>
        <v>98.759469070866004</v>
      </c>
      <c r="G103" s="7">
        <f t="shared" si="25"/>
        <v>99.30106796777963</v>
      </c>
      <c r="H103" s="7">
        <f t="shared" si="26"/>
        <v>8.5771887599591146E-2</v>
      </c>
      <c r="I103" s="7">
        <f t="shared" si="27"/>
        <v>4.7843256376347316</v>
      </c>
      <c r="J103" t="b">
        <f t="shared" si="19"/>
        <v>0</v>
      </c>
      <c r="K103" s="7">
        <f t="shared" si="20"/>
        <v>99.30106796777963</v>
      </c>
      <c r="L103" s="7">
        <f t="shared" si="28"/>
        <v>0.30106796777963041</v>
      </c>
      <c r="M103">
        <f t="shared" si="21"/>
        <v>1</v>
      </c>
      <c r="N103">
        <f t="shared" si="22"/>
        <v>1</v>
      </c>
      <c r="O103" s="3">
        <f t="shared" si="29"/>
        <v>174802.90852090548</v>
      </c>
    </row>
    <row r="105" spans="1:15" x14ac:dyDescent="0.25">
      <c r="A105" s="3">
        <f>SUMPRODUCT($A$19:$A$103,$B$19:$B$103)</f>
        <v>5414984833.7980003</v>
      </c>
      <c r="B105" s="3">
        <f>SUM(B19:B103)</f>
        <v>136208963.29699999</v>
      </c>
    </row>
  </sheetData>
  <mergeCells count="2">
    <mergeCell ref="F17:G17"/>
    <mergeCell ref="H17:I17"/>
  </mergeCells>
  <dataValidations count="1">
    <dataValidation type="whole" allowBlank="1" showInputMessage="1" showErrorMessage="1" sqref="C1">
      <formula1>1</formula1>
      <formula2>4</formula2>
    </dataValidation>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3"/>
  <sheetViews>
    <sheetView zoomScale="125" zoomScaleNormal="125" zoomScalePageLayoutView="125" workbookViewId="0"/>
  </sheetViews>
  <sheetFormatPr defaultColWidth="11" defaultRowHeight="15.75" x14ac:dyDescent="0.25"/>
  <cols>
    <col min="1" max="1" width="32.375" bestFit="1" customWidth="1"/>
    <col min="2" max="2" width="6" customWidth="1"/>
    <col min="3" max="3" width="9.625" bestFit="1" customWidth="1"/>
    <col min="4" max="4" width="9.625" customWidth="1"/>
    <col min="6" max="6" width="6" customWidth="1"/>
    <col min="7" max="7" width="8.375" customWidth="1"/>
    <col min="8" max="9" width="9.625" customWidth="1"/>
    <col min="10" max="10" width="6.875" bestFit="1" customWidth="1"/>
    <col min="11" max="11" width="6.875" customWidth="1"/>
    <col min="12" max="15" width="6.875" hidden="1" customWidth="1"/>
    <col min="16" max="16" width="7.125" customWidth="1"/>
    <col min="17" max="17" width="6" customWidth="1"/>
    <col min="18" max="18" width="8.375" customWidth="1"/>
    <col min="19" max="21" width="7.125" customWidth="1"/>
    <col min="23" max="23" width="8.625" bestFit="1" customWidth="1"/>
    <col min="24" max="24" width="7.625" bestFit="1" customWidth="1"/>
    <col min="25" max="25" width="8" bestFit="1" customWidth="1"/>
    <col min="26" max="26" width="9.125" bestFit="1" customWidth="1"/>
    <col min="27" max="27" width="9.125" customWidth="1"/>
  </cols>
  <sheetData>
    <row r="1" spans="1:28" x14ac:dyDescent="0.25">
      <c r="A1" s="5" t="str">
        <f>"Sectors: "&amp;VLOOKUP($C$1,ParametersTax!$B$16:$G$20,6)&amp;" group"</f>
        <v>Sectors: Subsidy slide, penalty group</v>
      </c>
      <c r="C1">
        <f>'hours (3)'!$C$1</f>
        <v>3</v>
      </c>
    </row>
    <row r="3" spans="1:28" x14ac:dyDescent="0.25">
      <c r="A3" s="1" t="s">
        <v>0</v>
      </c>
      <c r="F3" s="10" t="s">
        <v>33</v>
      </c>
      <c r="G3" s="10" t="s">
        <v>34</v>
      </c>
      <c r="H3" s="10" t="s">
        <v>46</v>
      </c>
      <c r="I3" s="11" t="s">
        <v>60</v>
      </c>
    </row>
    <row r="4" spans="1:28" x14ac:dyDescent="0.25">
      <c r="A4" t="s">
        <v>2</v>
      </c>
      <c r="B4" s="9">
        <f>ParametersOther!$B$4</f>
        <v>9.4905032911790893E-2</v>
      </c>
      <c r="E4" t="s">
        <v>35</v>
      </c>
      <c r="F4" s="6">
        <f>ParametersTax!$B$26</f>
        <v>0.81525609874077176</v>
      </c>
      <c r="G4" s="6">
        <f>$B$8*($R$16^($B$7/($B$7-1)))</f>
        <v>0.81525610976245499</v>
      </c>
      <c r="H4">
        <f>(1-G4/F4)^2</f>
        <v>1.8277118765714449E-16</v>
      </c>
      <c r="I4" s="6">
        <f>LN(G4)</f>
        <v>-0.20425296999861986</v>
      </c>
    </row>
    <row r="5" spans="1:28" x14ac:dyDescent="0.25">
      <c r="A5" t="s">
        <v>1</v>
      </c>
      <c r="B5" s="9">
        <f>ParametersOther!$B$5</f>
        <v>0.25</v>
      </c>
      <c r="E5" t="s">
        <v>36</v>
      </c>
      <c r="F5" s="6">
        <f>ParametersTax!$B$32</f>
        <v>0.64352984139849079</v>
      </c>
      <c r="G5" s="6">
        <f>$K$14</f>
        <v>0.64352984193861684</v>
      </c>
      <c r="I5" s="6">
        <f>LN(K14/F14)</f>
        <v>-0.20210242030868295</v>
      </c>
    </row>
    <row r="6" spans="1:28" x14ac:dyDescent="0.25">
      <c r="A6" t="s">
        <v>27</v>
      </c>
      <c r="B6" s="29">
        <f>ParametersOther!B6</f>
        <v>0.5</v>
      </c>
      <c r="E6" t="s">
        <v>37</v>
      </c>
      <c r="F6" s="9">
        <f>(F4/$B$8)^(1/$B$7)</f>
        <v>5.693021274305071</v>
      </c>
    </row>
    <row r="7" spans="1:28" x14ac:dyDescent="0.25">
      <c r="A7" t="s">
        <v>38</v>
      </c>
      <c r="B7" s="7">
        <f>ParametersOther!B7</f>
        <v>2</v>
      </c>
      <c r="F7" s="9"/>
    </row>
    <row r="8" spans="1:28" x14ac:dyDescent="0.25">
      <c r="A8" t="s">
        <v>26</v>
      </c>
      <c r="B8" s="9">
        <f>ParametersOther!B8</f>
        <v>2.5154080293418805E-2</v>
      </c>
      <c r="E8" t="s">
        <v>61</v>
      </c>
      <c r="G8">
        <f>G4/$P$16</f>
        <v>2.514427343823307E-2</v>
      </c>
      <c r="I8" s="28">
        <f>LN(G8/B8)</f>
        <v>-3.8994736735614618E-4</v>
      </c>
    </row>
    <row r="9" spans="1:28" x14ac:dyDescent="0.25">
      <c r="A9" t="s">
        <v>3</v>
      </c>
      <c r="B9" s="7">
        <f>'hours (3)'!B9</f>
        <v>43.288296761716524</v>
      </c>
      <c r="E9" t="s">
        <v>65</v>
      </c>
      <c r="G9" s="29">
        <f>SUMPRODUCT($P$19:$P$103,$U$19:$U$103)/SUM($P$19:$P$103)</f>
        <v>0.59591045298731338</v>
      </c>
    </row>
    <row r="10" spans="1:28" x14ac:dyDescent="0.25">
      <c r="A10" t="s">
        <v>17</v>
      </c>
      <c r="B10" s="7">
        <f>'hours (3)'!B10</f>
        <v>22.693124757509004</v>
      </c>
    </row>
    <row r="11" spans="1:28" x14ac:dyDescent="0.25">
      <c r="A11" t="s">
        <v>6</v>
      </c>
      <c r="B11" s="7">
        <f>ParametersOther!B16</f>
        <v>4.1410920000000004</v>
      </c>
    </row>
    <row r="12" spans="1:28" x14ac:dyDescent="0.25">
      <c r="A12" t="s">
        <v>7</v>
      </c>
      <c r="B12" s="14">
        <f>VLOOKUP($C$1,ParametersTax!$B$16:$E$20,3)</f>
        <v>0.23419152674892524</v>
      </c>
    </row>
    <row r="13" spans="1:28" x14ac:dyDescent="0.25">
      <c r="A13" t="s">
        <v>39</v>
      </c>
      <c r="B13" s="7">
        <f>VLOOKUP($C$1,ParametersTax!$B$16:$E$20,2)</f>
        <v>4.2</v>
      </c>
      <c r="S13" s="6"/>
      <c r="T13" s="6"/>
      <c r="U13" s="6"/>
    </row>
    <row r="14" spans="1:28" x14ac:dyDescent="0.25">
      <c r="A14" t="s">
        <v>9</v>
      </c>
      <c r="B14" s="7">
        <f>ParametersOther!$B$11</f>
        <v>29</v>
      </c>
      <c r="F14" s="23">
        <f>1-$E$16*$B$15</f>
        <v>0.78766338381257994</v>
      </c>
      <c r="G14" s="104" t="s">
        <v>55</v>
      </c>
      <c r="H14" s="104"/>
      <c r="I14" s="104"/>
      <c r="J14" s="104"/>
      <c r="K14" s="23">
        <f>$Y$16</f>
        <v>0.64352984193861684</v>
      </c>
      <c r="P14" s="17">
        <f>MAX(ABS(MIN(O$19:O$103)),MAX(O$19:O$103))</f>
        <v>8.5862852390937022E-3</v>
      </c>
      <c r="S14" s="6"/>
      <c r="T14" s="6"/>
      <c r="U14" s="6"/>
    </row>
    <row r="15" spans="1:28" x14ac:dyDescent="0.25">
      <c r="A15" t="s">
        <v>25</v>
      </c>
      <c r="B15" s="7">
        <f>ParametersOther!$B$19</f>
        <v>39.754981630619795</v>
      </c>
      <c r="C15" s="102" t="s">
        <v>28</v>
      </c>
      <c r="D15" s="102"/>
      <c r="E15" s="102"/>
      <c r="F15" s="102"/>
      <c r="G15" s="102"/>
      <c r="H15" s="95" t="s">
        <v>29</v>
      </c>
      <c r="I15" s="95"/>
      <c r="J15" s="95"/>
      <c r="K15" s="95"/>
      <c r="L15" s="95"/>
      <c r="M15" s="95"/>
      <c r="N15" s="95"/>
      <c r="O15" s="95"/>
      <c r="P15" s="95"/>
      <c r="Q15" s="95"/>
      <c r="R15" s="95"/>
      <c r="S15" s="95"/>
      <c r="T15" s="95"/>
      <c r="U15" s="95"/>
      <c r="V15" s="95"/>
      <c r="W15" s="95"/>
      <c r="X15" s="95"/>
    </row>
    <row r="16" spans="1:28" x14ac:dyDescent="0.25">
      <c r="A16" t="s">
        <v>68</v>
      </c>
      <c r="B16" s="14">
        <f>ParametersOther!$B$21</f>
        <v>0.25</v>
      </c>
      <c r="C16" s="24">
        <f>SUMPRODUCT(C$19:C$103,$D$19:$D$103)/COUNT($D$19:$D$103)</f>
        <v>39.754981630619874</v>
      </c>
      <c r="D16" s="25">
        <f>SUMPRODUCT($A$19:$A$103,D$19:D$103)</f>
        <v>1</v>
      </c>
      <c r="E16" s="45">
        <f t="shared" ref="E16:F16" si="0">SUMPRODUCT($A$19:$A$103,E$19:E$103)</f>
        <v>5.3411322928112155E-3</v>
      </c>
      <c r="F16" s="45">
        <f t="shared" si="0"/>
        <v>4.6912770354079047E-3</v>
      </c>
      <c r="G16" s="9"/>
      <c r="H16" s="7">
        <f>SUMPRODUCT($A$19:$A$103,$D$19:$D$103,H$19:H$103)</f>
        <v>39.886173485152369</v>
      </c>
      <c r="I16" s="9">
        <f>SUMPRODUCT($A$19:$A$103,$Q$19:$Q$103,I$19:I$103)</f>
        <v>2.8160442765833453</v>
      </c>
      <c r="J16" s="9">
        <f>SUMPRODUCT($A$19:$A$103,J$19:J$103)</f>
        <v>0.2076501787230989</v>
      </c>
      <c r="K16" s="6">
        <f>SUMPRODUCT($A$19:$A$103,K$19:K$103)</f>
        <v>5.2232492685435946E-3</v>
      </c>
      <c r="P16" s="7">
        <f>SUMPRODUCT($A$19:$A$103,P$19:P$103)</f>
        <v>32.423132518230538</v>
      </c>
      <c r="Q16" s="9">
        <f>SUMPRODUCT($A$19:$A$103,Q$19:Q$103)</f>
        <v>0.80647230524581381</v>
      </c>
      <c r="R16" s="9">
        <f>SUMPRODUCT($A$19:$A$103,R$19:R$103)</f>
        <v>5.6930213127878728</v>
      </c>
      <c r="S16" s="6"/>
      <c r="T16" s="6"/>
      <c r="U16" s="6"/>
      <c r="V16" s="6">
        <f>LN($H$16/$C$16)</f>
        <v>3.294577357835205E-3</v>
      </c>
      <c r="W16" s="6">
        <f>LN($Q$16/$D$16)</f>
        <v>-0.21508572144131016</v>
      </c>
      <c r="X16" s="6">
        <f>LN(P16/$B$15)</f>
        <v>-0.20386302263126363</v>
      </c>
      <c r="Y16" s="9">
        <f>SUMPRODUCT($A$19:$A$103,Y$19:Y$103)</f>
        <v>0.64352984193861684</v>
      </c>
      <c r="AB16" s="9"/>
    </row>
    <row r="17" spans="1:30" x14ac:dyDescent="0.25">
      <c r="C17" s="24"/>
      <c r="D17" s="26"/>
      <c r="E17" s="105" t="s">
        <v>115</v>
      </c>
      <c r="F17" s="105"/>
      <c r="G17" s="17"/>
      <c r="H17" s="7">
        <f>SUMPRODUCT($A$19:$A$103,$Q$19:$Q$103,H$19:H$103)</f>
        <v>32.423132518230538</v>
      </c>
      <c r="I17" s="22" t="s">
        <v>53</v>
      </c>
      <c r="J17" s="17" t="s">
        <v>44</v>
      </c>
      <c r="K17" s="17" t="s">
        <v>42</v>
      </c>
      <c r="L17" s="20">
        <f>($B$15*(1-$B$12-0.5*$B$13/$B$9)^$B$6)^(1/$B$7)</f>
        <v>5.802570943264735</v>
      </c>
      <c r="M17" s="17"/>
      <c r="N17" s="17"/>
      <c r="P17" s="7">
        <f>SUMPRODUCT($A$19:$A$103,P$19:P$103,$AC$19:$AC$103)</f>
        <v>14.16963145772154</v>
      </c>
      <c r="Q17" s="9">
        <f>SUMPRODUCT($A$19:$A$103,Q$19:Q$103,$AC$19:$AC$103)</f>
        <v>0.37550954267105585</v>
      </c>
      <c r="R17" t="s">
        <v>56</v>
      </c>
      <c r="V17" s="6">
        <f>SUMPRODUCT($A$19:$A$103,V$19:V$103)</f>
        <v>3.181746098731049E-3</v>
      </c>
      <c r="W17" s="6">
        <f t="shared" ref="W17:X17" si="1">SUMPRODUCT($A$19:$A$103,W$19:W$103)</f>
        <v>-0.20788902831623599</v>
      </c>
      <c r="X17" s="6">
        <f t="shared" si="1"/>
        <v>-0.20470728221750487</v>
      </c>
      <c r="Y17" s="95" t="s">
        <v>58</v>
      </c>
      <c r="Z17" s="95"/>
      <c r="AA17" s="31"/>
    </row>
    <row r="18" spans="1:30" x14ac:dyDescent="0.25">
      <c r="A18" s="12" t="s">
        <v>193</v>
      </c>
      <c r="B18" s="10" t="s">
        <v>8</v>
      </c>
      <c r="C18" s="27" t="s">
        <v>30</v>
      </c>
      <c r="D18" s="27" t="s">
        <v>32</v>
      </c>
      <c r="E18" s="27" t="s">
        <v>116</v>
      </c>
      <c r="F18" s="27" t="s">
        <v>117</v>
      </c>
      <c r="G18" s="27" t="s">
        <v>69</v>
      </c>
      <c r="H18" s="10" t="s">
        <v>30</v>
      </c>
      <c r="I18" s="10" t="s">
        <v>40</v>
      </c>
      <c r="J18" s="10" t="s">
        <v>43</v>
      </c>
      <c r="K18" s="10" t="s">
        <v>43</v>
      </c>
      <c r="L18" s="10" t="s">
        <v>50</v>
      </c>
      <c r="M18" s="10" t="s">
        <v>51</v>
      </c>
      <c r="N18" s="10" t="s">
        <v>52</v>
      </c>
      <c r="O18" s="10" t="s">
        <v>45</v>
      </c>
      <c r="P18" s="10" t="s">
        <v>31</v>
      </c>
      <c r="Q18" s="10" t="s">
        <v>32</v>
      </c>
      <c r="R18" s="10" t="s">
        <v>57</v>
      </c>
      <c r="S18" s="11" t="s">
        <v>62</v>
      </c>
      <c r="T18" s="10" t="s">
        <v>63</v>
      </c>
      <c r="U18" s="10" t="s">
        <v>64</v>
      </c>
      <c r="V18" s="10" t="s">
        <v>47</v>
      </c>
      <c r="W18" s="10" t="s">
        <v>48</v>
      </c>
      <c r="X18" s="10" t="s">
        <v>49</v>
      </c>
      <c r="Y18" s="10" t="s">
        <v>59</v>
      </c>
      <c r="Z18" s="10"/>
      <c r="AA18" s="10" t="s">
        <v>97</v>
      </c>
      <c r="AB18" s="10" t="s">
        <v>66</v>
      </c>
      <c r="AC18" s="11" t="s">
        <v>119</v>
      </c>
      <c r="AD18" s="10" t="s">
        <v>120</v>
      </c>
    </row>
    <row r="19" spans="1:30" x14ac:dyDescent="0.25">
      <c r="A19" s="39">
        <f>'hours (1)'!$A19*'hours (1)'!$B19/'hours (1)'!$A$105</f>
        <v>8.5148840514222583E-4</v>
      </c>
      <c r="B19" s="9">
        <f>'hours (3)'!$E19</f>
        <v>6.1944250195876105</v>
      </c>
      <c r="C19" s="26">
        <f>$B$5*($B$4*$B$9*(1-$B$16)+$B$11)+$B19</f>
        <v>8</v>
      </c>
      <c r="D19" s="25">
        <f t="shared" ref="D19:D82" si="2">$B$15/$C19</f>
        <v>4.9693727038274744</v>
      </c>
      <c r="E19" s="25">
        <f>(($B$4*$B$9+$B$11)/$C19+($B19/$C19-1+LN($C19/$B19))/$B$5)*$B$8</f>
        <v>2.8966207360624489E-2</v>
      </c>
      <c r="F19" s="25">
        <f t="shared" ref="F19:F82" si="3">(((1-$B$16)*$B$4*$B$9+$B$11)/$C19+($B19/$C19-1+LN($C19/$B19))/$B$5)*$B$8</f>
        <v>2.5736834383045692E-2</v>
      </c>
      <c r="G19" s="30">
        <f t="shared" ref="G19:G82" si="4">((1-$B$16)*$B$8-$F19)*$F$5/($F$14*$B$15^(1/$B$6))</f>
        <v>-3.5520755690603948E-6</v>
      </c>
      <c r="H19" s="9">
        <f>'hours (3)'!$K19</f>
        <v>7.7594690708660021</v>
      </c>
      <c r="I19" s="7">
        <f t="shared" ref="I19:I82" si="5">IF($H19&gt;$B$14,1,0)*$B$13</f>
        <v>0</v>
      </c>
      <c r="J19" s="9">
        <f t="shared" ref="J19:J82" si="6">(1-$B$16-$B$12)*($B$4*$B$9+$I19)/$H19+$B$11/$H19+($B19/$H19-1+LN($H19/$B19))/$B$5</f>
        <v>0.90105686401544782</v>
      </c>
      <c r="K19" s="18">
        <f>J19*$B$8</f>
        <v>2.2665256706380723E-2</v>
      </c>
      <c r="L19" s="19">
        <f t="shared" ref="L19:L82" si="7">$G19*($L$17^(($B$7+$B$6)/$B$6))+($K19*$L$17)-(1-$B$16-$B$12)*$B$8*(($F$4/$B$8)^(1/$B$7))</f>
        <v>3.4285580187931874E-2</v>
      </c>
      <c r="M19" s="19">
        <f t="shared" ref="M19:M83" si="8">$G19*($B$7+$B$6)*($L$17^($B$7/$B$6))/$B$6+$K19</f>
        <v>2.5310725439053744E-3</v>
      </c>
      <c r="N19" s="19">
        <f t="shared" ref="N19:N83" si="9">$G19*($B$7+$B$6)*$B$7*($L$17^($B$7/$B$6-1))/($B$6^2)</f>
        <v>-1.387949194199572E-2</v>
      </c>
      <c r="O19" s="19">
        <f t="shared" ref="O19:O82" si="10">$G19*(P19^(1/$B$7+1/$B$6))+($K19*P19^(1/$B$7))-(1-$B$16-$B$12)*$B$8*(($F$4/$B$8)^(1/$B$7))</f>
        <v>8.5862852390937022E-3</v>
      </c>
      <c r="P19" s="21">
        <f t="shared" ref="P19:P82" si="11">($L$17-(M19/N19)*(1-SQRT(1-2*L19*N19/(M19^2))))^$B$7</f>
        <v>14.098127659469325</v>
      </c>
      <c r="Q19" s="9">
        <f>$P19/$H19</f>
        <v>1.8168933377674887</v>
      </c>
      <c r="R19" s="9">
        <f t="shared" ref="R19:R82" si="12">$P19^(($B$7-1)/$B$7)</f>
        <v>3.7547473496187895</v>
      </c>
      <c r="S19" s="6">
        <f>$B$8*($G$4/($B$8*$P19))^(1/$B$7)</f>
        <v>3.8139108142269465E-2</v>
      </c>
      <c r="T19" s="6">
        <f t="shared" ref="T19:T82" si="13">S19-($B$4*$B$9*$B$8/$H19)</f>
        <v>2.4821194978529245E-2</v>
      </c>
      <c r="U19" s="6">
        <f t="shared" ref="U19:U82" si="14">$B$6*T19/(T19-$B$8*$B$11/$H19-($B19/$H19-1+LN($H19/$B19))*$B$8/$B$5)</f>
        <v>1.3750698291577932</v>
      </c>
      <c r="V19" s="6">
        <f t="shared" ref="V19:V82" si="15">LN(H19/C19)</f>
        <v>-3.0527628528209536E-2</v>
      </c>
      <c r="W19" s="6">
        <f t="shared" ref="W19:W82" si="16">LN(Q19/D19)</f>
        <v>-1.0061655303023023</v>
      </c>
      <c r="X19" s="6">
        <f t="shared" ref="X19:X82" si="17">LN(P19/$B$15)</f>
        <v>-1.0366931588305119</v>
      </c>
      <c r="Y19">
        <f t="shared" ref="Y19:Y82" si="18">$G$4-($B$4*$B$9+$B$11+($B19-$H19+$H19*LN($H19/$B19))/$B$5)*$B$8*$Q19</f>
        <v>0.40480776893986659</v>
      </c>
      <c r="AA19" s="43">
        <f>ROUND($H19,0)</f>
        <v>8</v>
      </c>
      <c r="AB19" s="6">
        <f>$Q19*$A19/$Q$16</f>
        <v>1.918309656049041E-3</v>
      </c>
      <c r="AC19" s="6">
        <f>VLOOKUP($C19,'hours (1)'!$A$19:$P$103,16)</f>
        <v>0.65945741368532951</v>
      </c>
      <c r="AD19" s="6">
        <f>$Q19*$A19*AC19/$Q$17</f>
        <v>2.7169018398916903E-3</v>
      </c>
    </row>
    <row r="20" spans="1:30" x14ac:dyDescent="0.25">
      <c r="A20" s="39">
        <f>'hours (1)'!$A20*'hours (1)'!$B20/'hours (1)'!$A$105</f>
        <v>1.156853932609497E-4</v>
      </c>
      <c r="B20" s="9">
        <f>'hours (3)'!$E20</f>
        <v>7.1944250195876105</v>
      </c>
      <c r="C20" s="26">
        <f t="shared" ref="C20:C83" si="19">$B$5*($B$4*$B$9*(1-$B$16)+$B$11)+$B20</f>
        <v>9</v>
      </c>
      <c r="D20" s="25">
        <f t="shared" si="2"/>
        <v>4.4172201811799772</v>
      </c>
      <c r="E20" s="25">
        <f t="shared" ref="E20:E83" si="20">(($B$4*$B$9+$B$11)/$C20+($B20/$C20-1+LN($C20/$B20))/$B$5)*$B$8</f>
        <v>2.5400374665029157E-2</v>
      </c>
      <c r="F20" s="25">
        <f t="shared" si="3"/>
        <v>2.2529820907181339E-2</v>
      </c>
      <c r="G20" s="30">
        <f t="shared" si="4"/>
        <v>-1.894223772280656E-6</v>
      </c>
      <c r="H20" s="9">
        <f>'hours (3)'!$K20</f>
        <v>8.7594690708660021</v>
      </c>
      <c r="I20" s="7">
        <f t="shared" si="5"/>
        <v>0</v>
      </c>
      <c r="J20" s="9">
        <f t="shared" si="6"/>
        <v>0.78731548601291079</v>
      </c>
      <c r="K20" s="18">
        <f t="shared" ref="K20:K83" si="21">J20*$B$8</f>
        <v>1.980419695142081E-2</v>
      </c>
      <c r="L20" s="19">
        <f t="shared" si="7"/>
        <v>2.8589638675679069E-2</v>
      </c>
      <c r="M20" s="19">
        <f t="shared" si="8"/>
        <v>9.0671927592138185E-3</v>
      </c>
      <c r="N20" s="19">
        <f t="shared" si="9"/>
        <v>-7.4015496214965481E-3</v>
      </c>
      <c r="O20" s="19">
        <f t="shared" si="10"/>
        <v>3.2410056285511052E-3</v>
      </c>
      <c r="P20" s="21">
        <f t="shared" si="11"/>
        <v>15.921472493516855</v>
      </c>
      <c r="Q20" s="9">
        <f t="shared" ref="Q20:Q83" si="22">$P20/$H20</f>
        <v>1.8176298545846437</v>
      </c>
      <c r="R20" s="9">
        <f t="shared" si="12"/>
        <v>3.9901719879620297</v>
      </c>
      <c r="S20" s="6">
        <f t="shared" ref="S20:S83" si="23">$B$8*($G$4/($B$8*$P20))^(1/$B$7)</f>
        <v>3.5888857835211035E-2</v>
      </c>
      <c r="T20" s="6">
        <f t="shared" si="13"/>
        <v>2.409134654240562E-2</v>
      </c>
      <c r="U20" s="6">
        <f t="shared" si="14"/>
        <v>1.1613191203293594</v>
      </c>
      <c r="V20" s="6">
        <f t="shared" si="15"/>
        <v>-2.7089282573309371E-2</v>
      </c>
      <c r="W20" s="6">
        <f t="shared" si="16"/>
        <v>-0.88797720526502488</v>
      </c>
      <c r="X20" s="6">
        <f t="shared" si="17"/>
        <v>-0.91506648783833422</v>
      </c>
      <c r="Y20">
        <f t="shared" si="18"/>
        <v>0.40899662181091501</v>
      </c>
      <c r="AA20" s="43">
        <f t="shared" ref="AA20:AA83" si="24">ROUND($H20,0)</f>
        <v>9</v>
      </c>
      <c r="AB20" s="6">
        <f>$Q20*$A20/$Q$16+AB19</f>
        <v>2.1790417644707628E-3</v>
      </c>
      <c r="AC20" s="6">
        <f>VLOOKUP($C20,'hours (1)'!$A$19:$P$103,16)</f>
        <v>0.61809764833410796</v>
      </c>
      <c r="AD20" s="6">
        <f>$Q20*$A20*AC20/$Q$17+AD19</f>
        <v>3.0630165741948987E-3</v>
      </c>
    </row>
    <row r="21" spans="1:30" x14ac:dyDescent="0.25">
      <c r="A21" s="39">
        <f>'hours (1)'!$A21*'hours (1)'!$B21/'hours (1)'!$A$105</f>
        <v>2.1505951276750003E-3</v>
      </c>
      <c r="B21" s="9">
        <f>'hours (3)'!$E21</f>
        <v>8.1944250195876105</v>
      </c>
      <c r="C21" s="26">
        <f t="shared" si="19"/>
        <v>10</v>
      </c>
      <c r="D21" s="25">
        <f t="shared" si="2"/>
        <v>3.9754981630619795</v>
      </c>
      <c r="E21" s="25">
        <f t="shared" si="20"/>
        <v>2.2619331622219848E-2</v>
      </c>
      <c r="F21" s="25">
        <f t="shared" si="3"/>
        <v>2.0035833240156814E-2</v>
      </c>
      <c r="G21" s="30">
        <f t="shared" si="4"/>
        <v>-6.0496759483077892E-7</v>
      </c>
      <c r="H21" s="9">
        <f>'hours (3)'!$K21</f>
        <v>9.7594690708660021</v>
      </c>
      <c r="I21" s="7">
        <f t="shared" si="5"/>
        <v>0</v>
      </c>
      <c r="J21" s="9">
        <f t="shared" si="6"/>
        <v>0.69913581231443789</v>
      </c>
      <c r="K21" s="18">
        <f t="shared" si="21"/>
        <v>1.7586118358961952E-2</v>
      </c>
      <c r="L21" s="19">
        <f t="shared" si="7"/>
        <v>2.4199971951106569E-2</v>
      </c>
      <c r="M21" s="19">
        <f t="shared" si="8"/>
        <v>1.4156988339108601E-2</v>
      </c>
      <c r="N21" s="19">
        <f t="shared" si="9"/>
        <v>-2.3638694319342512E-3</v>
      </c>
      <c r="O21" s="19">
        <f t="shared" si="10"/>
        <v>6.2326074585214442E-4</v>
      </c>
      <c r="P21" s="21">
        <f t="shared" si="11"/>
        <v>18.364259869042552</v>
      </c>
      <c r="Q21" s="9">
        <f t="shared" si="22"/>
        <v>1.8816863638477628</v>
      </c>
      <c r="R21" s="9">
        <f t="shared" si="12"/>
        <v>4.2853541124442156</v>
      </c>
      <c r="S21" s="6">
        <f t="shared" si="23"/>
        <v>3.3416775243419239E-2</v>
      </c>
      <c r="T21" s="6">
        <f t="shared" si="13"/>
        <v>2.2828091111921543E-2</v>
      </c>
      <c r="U21" s="6">
        <f t="shared" si="14"/>
        <v>1.0663639139641599</v>
      </c>
      <c r="V21" s="6">
        <f t="shared" si="15"/>
        <v>-2.4347092525539366E-2</v>
      </c>
      <c r="W21" s="6">
        <f t="shared" si="16"/>
        <v>-0.74798168747202087</v>
      </c>
      <c r="X21" s="6">
        <f t="shared" si="17"/>
        <v>-0.77232877999756033</v>
      </c>
      <c r="Y21">
        <f t="shared" si="18"/>
        <v>0.39814739913533415</v>
      </c>
      <c r="AA21" s="43">
        <f t="shared" si="24"/>
        <v>10</v>
      </c>
      <c r="AB21" s="6">
        <f t="shared" ref="AB21:AB84" si="25">$Q21*$A21/$Q$16+AB20</f>
        <v>7.1968774664295954E-3</v>
      </c>
      <c r="AC21" s="6">
        <f>VLOOKUP($C21,'hours (1)'!$A$19:$P$103,16)</f>
        <v>0.66850566449331195</v>
      </c>
      <c r="AD21" s="6">
        <f t="shared" ref="AD21:AD84" si="26">$Q21*$A21*AC21/$Q$17+AD20</f>
        <v>1.0267287037167528E-2</v>
      </c>
    </row>
    <row r="22" spans="1:30" x14ac:dyDescent="0.25">
      <c r="A22" s="39">
        <f>'hours (1)'!$A22*'hours (1)'!$B22/'hours (1)'!$A$105</f>
        <v>6.5173811346110435E-5</v>
      </c>
      <c r="B22" s="9">
        <f>'hours (3)'!$E22</f>
        <v>9.1944250195876105</v>
      </c>
      <c r="C22" s="26">
        <f t="shared" si="19"/>
        <v>11</v>
      </c>
      <c r="D22" s="25">
        <f t="shared" si="2"/>
        <v>3.6140892391472543</v>
      </c>
      <c r="E22" s="25">
        <f t="shared" si="20"/>
        <v>2.0388934870164285E-2</v>
      </c>
      <c r="F22" s="25">
        <f t="shared" si="3"/>
        <v>1.8040299977379708E-2</v>
      </c>
      <c r="G22" s="30">
        <f t="shared" si="4"/>
        <v>4.26614726268483E-7</v>
      </c>
      <c r="H22" s="9">
        <f>'hours (3)'!$K22</f>
        <v>10.759469070866002</v>
      </c>
      <c r="I22" s="7">
        <f t="shared" si="5"/>
        <v>0</v>
      </c>
      <c r="J22" s="9">
        <f t="shared" si="6"/>
        <v>0.6287555456577989</v>
      </c>
      <c r="K22" s="18">
        <f t="shared" si="21"/>
        <v>1.5815767480408627E-2</v>
      </c>
      <c r="L22" s="19">
        <f t="shared" si="7"/>
        <v>2.0713265539170564E-2</v>
      </c>
      <c r="M22" s="19">
        <f t="shared" si="8"/>
        <v>1.8233942234327439E-2</v>
      </c>
      <c r="N22" s="19">
        <f t="shared" si="9"/>
        <v>1.6669678165508203E-3</v>
      </c>
      <c r="O22" s="19">
        <f t="shared" si="10"/>
        <v>-2.2469672454526746E-4</v>
      </c>
      <c r="P22" s="21">
        <f t="shared" si="11"/>
        <v>21.165089813597351</v>
      </c>
      <c r="Q22" s="9">
        <f t="shared" si="22"/>
        <v>1.9671128448993094</v>
      </c>
      <c r="R22" s="9">
        <f t="shared" si="12"/>
        <v>4.6005532073433679</v>
      </c>
      <c r="S22" s="6">
        <f t="shared" si="23"/>
        <v>3.1127281602880193E-2</v>
      </c>
      <c r="T22" s="6">
        <f t="shared" si="13"/>
        <v>2.1522724481902861E-2</v>
      </c>
      <c r="U22" s="6">
        <f t="shared" si="14"/>
        <v>1.0094074332637886</v>
      </c>
      <c r="V22" s="6">
        <f t="shared" si="15"/>
        <v>-2.2109062138450444E-2</v>
      </c>
      <c r="W22" s="6">
        <f t="shared" si="16"/>
        <v>-0.6082729776901421</v>
      </c>
      <c r="X22" s="6">
        <f t="shared" si="17"/>
        <v>-0.63038203982859231</v>
      </c>
      <c r="Y22">
        <f t="shared" si="18"/>
        <v>0.3820868807421397</v>
      </c>
      <c r="AA22" s="43">
        <f t="shared" si="24"/>
        <v>11</v>
      </c>
      <c r="AB22" s="6">
        <f t="shared" si="25"/>
        <v>7.3558466469160868E-3</v>
      </c>
      <c r="AC22" s="6">
        <f>VLOOKUP($C22,'hours (1)'!$A$19:$P$103,16)</f>
        <v>0.7387130633743596</v>
      </c>
      <c r="AD22" s="6">
        <f t="shared" si="26"/>
        <v>1.0519494071016629E-2</v>
      </c>
    </row>
    <row r="23" spans="1:30" x14ac:dyDescent="0.25">
      <c r="A23" s="39">
        <f>'hours (1)'!$A23*'hours (1)'!$B23/'hours (1)'!$A$105</f>
        <v>1.6665159140751592E-3</v>
      </c>
      <c r="B23" s="9">
        <f>'hours (3)'!$E23</f>
        <v>10.19442501958761</v>
      </c>
      <c r="C23" s="26">
        <f t="shared" si="19"/>
        <v>12</v>
      </c>
      <c r="D23" s="25">
        <f t="shared" si="2"/>
        <v>3.3129151358849831</v>
      </c>
      <c r="E23" s="25">
        <f t="shared" si="20"/>
        <v>1.8559980691175048E-2</v>
      </c>
      <c r="F23" s="25">
        <f t="shared" si="3"/>
        <v>1.6407065372789183E-2</v>
      </c>
      <c r="G23" s="30">
        <f t="shared" si="4"/>
        <v>1.2709083172249349E-6</v>
      </c>
      <c r="H23" s="9">
        <f>'hours (3)'!$K23</f>
        <v>11.759469070866002</v>
      </c>
      <c r="I23" s="7">
        <f t="shared" si="5"/>
        <v>0</v>
      </c>
      <c r="J23" s="9">
        <f t="shared" si="6"/>
        <v>0.57127116102008713</v>
      </c>
      <c r="K23" s="18">
        <f t="shared" si="21"/>
        <v>1.4369800653613854E-2</v>
      </c>
      <c r="L23" s="19">
        <f t="shared" si="7"/>
        <v>1.7876811432374809E-2</v>
      </c>
      <c r="M23" s="19">
        <f t="shared" si="8"/>
        <v>2.1573673886355151E-2</v>
      </c>
      <c r="N23" s="19">
        <f t="shared" si="9"/>
        <v>4.9659871827008716E-3</v>
      </c>
      <c r="O23" s="19">
        <f t="shared" si="10"/>
        <v>-3.1520061260681409E-4</v>
      </c>
      <c r="P23" s="21">
        <f t="shared" si="11"/>
        <v>23.764455085093129</v>
      </c>
      <c r="Q23" s="9">
        <f t="shared" si="22"/>
        <v>2.0208782336924878</v>
      </c>
      <c r="R23" s="9">
        <f t="shared" si="12"/>
        <v>4.8748800072507557</v>
      </c>
      <c r="S23" s="6">
        <f t="shared" si="23"/>
        <v>2.9375638990296195E-2</v>
      </c>
      <c r="T23" s="6">
        <f t="shared" si="13"/>
        <v>2.0587832784100597E-2</v>
      </c>
      <c r="U23" s="6">
        <f t="shared" si="14"/>
        <v>0.95749728235796761</v>
      </c>
      <c r="V23" s="6">
        <f t="shared" si="15"/>
        <v>-2.0247855371881378E-2</v>
      </c>
      <c r="W23" s="6">
        <f t="shared" si="16"/>
        <v>-0.49429632141760221</v>
      </c>
      <c r="X23" s="6">
        <f t="shared" si="17"/>
        <v>-0.51454417678948361</v>
      </c>
      <c r="Y23">
        <f t="shared" si="18"/>
        <v>0.37264831546699262</v>
      </c>
      <c r="AA23" s="43">
        <f t="shared" si="24"/>
        <v>12</v>
      </c>
      <c r="AB23" s="6">
        <f t="shared" si="25"/>
        <v>1.153184341078526E-2</v>
      </c>
      <c r="AC23" s="6">
        <f>VLOOKUP($C23,'hours (1)'!$A$19:$P$103,16)</f>
        <v>0.71832894688550686</v>
      </c>
      <c r="AD23" s="6">
        <f t="shared" si="26"/>
        <v>1.6961958083094586E-2</v>
      </c>
    </row>
    <row r="24" spans="1:30" x14ac:dyDescent="0.25">
      <c r="A24" s="39">
        <f>'hours (1)'!$A24*'hours (1)'!$B24/'hours (1)'!$A$105</f>
        <v>2.5796297549743205E-4</v>
      </c>
      <c r="B24" s="9">
        <f>'hours (3)'!$E24</f>
        <v>11.19442501958761</v>
      </c>
      <c r="C24" s="26">
        <f t="shared" si="19"/>
        <v>13</v>
      </c>
      <c r="D24" s="25">
        <f t="shared" si="2"/>
        <v>3.0580755100476766</v>
      </c>
      <c r="E24" s="25">
        <f t="shared" si="20"/>
        <v>1.7032814010520266E-2</v>
      </c>
      <c r="F24" s="25">
        <f t="shared" si="3"/>
        <v>1.5045507562779472E-2</v>
      </c>
      <c r="G24" s="30">
        <f t="shared" si="4"/>
        <v>1.9747597599245047E-6</v>
      </c>
      <c r="H24" s="9">
        <f>'hours (3)'!$K24</f>
        <v>12.759469070866002</v>
      </c>
      <c r="I24" s="7">
        <f t="shared" si="5"/>
        <v>0</v>
      </c>
      <c r="J24" s="9">
        <f t="shared" si="6"/>
        <v>0.52343111967418277</v>
      </c>
      <c r="K24" s="18">
        <f t="shared" si="21"/>
        <v>1.3166428412358501E-2</v>
      </c>
      <c r="L24" s="19">
        <f t="shared" si="7"/>
        <v>1.5524183244623707E-2</v>
      </c>
      <c r="M24" s="19">
        <f t="shared" si="8"/>
        <v>2.4359933705232394E-2</v>
      </c>
      <c r="N24" s="19">
        <f t="shared" si="9"/>
        <v>7.7162384758891209E-3</v>
      </c>
      <c r="O24" s="19">
        <f t="shared" si="10"/>
        <v>-2.32403317570129E-4</v>
      </c>
      <c r="P24" s="21">
        <f t="shared" si="11"/>
        <v>25.840592125369479</v>
      </c>
      <c r="Q24" s="9">
        <f t="shared" si="22"/>
        <v>2.02520904136771</v>
      </c>
      <c r="R24" s="9">
        <f t="shared" si="12"/>
        <v>5.0833642526745493</v>
      </c>
      <c r="S24" s="6">
        <f t="shared" si="23"/>
        <v>2.8170854594703958E-2</v>
      </c>
      <c r="T24" s="6">
        <f t="shared" si="13"/>
        <v>2.0071776591648178E-2</v>
      </c>
      <c r="U24" s="6">
        <f t="shared" si="14"/>
        <v>0.90552734965770398</v>
      </c>
      <c r="V24" s="6">
        <f t="shared" si="15"/>
        <v>-1.8675689276866542E-2</v>
      </c>
      <c r="W24" s="6">
        <f t="shared" si="16"/>
        <v>-0.41211287429148907</v>
      </c>
      <c r="X24" s="6">
        <f t="shared" si="17"/>
        <v>-0.43078856356835576</v>
      </c>
      <c r="Y24">
        <f t="shared" si="18"/>
        <v>0.37369379364671496</v>
      </c>
      <c r="AA24" s="43">
        <f t="shared" si="24"/>
        <v>13</v>
      </c>
      <c r="AB24" s="6">
        <f t="shared" si="25"/>
        <v>1.2179638687718273E-2</v>
      </c>
      <c r="AC24" s="6">
        <f>VLOOKUP($C24,'hours (1)'!$A$19:$P$103,16)</f>
        <v>0.6322132591886811</v>
      </c>
      <c r="AD24" s="6">
        <f t="shared" si="26"/>
        <v>1.7841526967081172E-2</v>
      </c>
    </row>
    <row r="25" spans="1:30" x14ac:dyDescent="0.25">
      <c r="A25" s="39">
        <f>'hours (1)'!$A25*'hours (1)'!$B25/'hours (1)'!$A$105</f>
        <v>3.4482549024802218E-4</v>
      </c>
      <c r="B25" s="9">
        <f>'hours (3)'!$E25</f>
        <v>12.19442501958761</v>
      </c>
      <c r="C25" s="26">
        <f t="shared" si="19"/>
        <v>14</v>
      </c>
      <c r="D25" s="25">
        <f t="shared" si="2"/>
        <v>2.8396415450442709</v>
      </c>
      <c r="E25" s="25">
        <f t="shared" si="20"/>
        <v>1.5738301450694017E-2</v>
      </c>
      <c r="F25" s="25">
        <f t="shared" si="3"/>
        <v>1.3892945463506137E-2</v>
      </c>
      <c r="G25" s="30">
        <f t="shared" si="4"/>
        <v>2.5705717705570871E-6</v>
      </c>
      <c r="H25" s="9">
        <f>'hours (3)'!$K25</f>
        <v>13.759469070866002</v>
      </c>
      <c r="I25" s="7">
        <f t="shared" si="5"/>
        <v>0</v>
      </c>
      <c r="J25" s="9">
        <f t="shared" si="6"/>
        <v>0.48299346041443536</v>
      </c>
      <c r="K25" s="18">
        <f t="shared" si="21"/>
        <v>1.2149256284460905E-2</v>
      </c>
      <c r="L25" s="19">
        <f t="shared" si="7"/>
        <v>1.3541297252500598E-2</v>
      </c>
      <c r="M25" s="19">
        <f t="shared" si="8"/>
        <v>2.6719995117291381E-2</v>
      </c>
      <c r="N25" s="19">
        <f t="shared" si="9"/>
        <v>1.0044333089795852E-2</v>
      </c>
      <c r="O25" s="19">
        <f t="shared" si="10"/>
        <v>-1.5042026240709439E-4</v>
      </c>
      <c r="P25" s="21">
        <f t="shared" si="11"/>
        <v>27.408398391994233</v>
      </c>
      <c r="Q25" s="9">
        <f t="shared" si="22"/>
        <v>1.9919662779742116</v>
      </c>
      <c r="R25" s="9">
        <f t="shared" si="12"/>
        <v>5.2353030850175459</v>
      </c>
      <c r="S25" s="6">
        <f t="shared" si="23"/>
        <v>2.7353280772574554E-2</v>
      </c>
      <c r="T25" s="6">
        <f t="shared" si="13"/>
        <v>1.9842821266449342E-2</v>
      </c>
      <c r="U25" s="6">
        <f t="shared" si="14"/>
        <v>0.85769529830052649</v>
      </c>
      <c r="V25" s="6">
        <f t="shared" si="15"/>
        <v>-1.7330082820613567E-2</v>
      </c>
      <c r="W25" s="6">
        <f t="shared" si="16"/>
        <v>-0.35455559738212172</v>
      </c>
      <c r="X25" s="6">
        <f t="shared" si="17"/>
        <v>-0.37188568020273538</v>
      </c>
      <c r="Y25">
        <f t="shared" si="18"/>
        <v>0.38259378916876968</v>
      </c>
      <c r="AA25" s="43">
        <f t="shared" si="24"/>
        <v>14</v>
      </c>
      <c r="AB25" s="6">
        <f t="shared" si="25"/>
        <v>1.3031348962072484E-2</v>
      </c>
      <c r="AC25" s="6">
        <f>VLOOKUP($C25,'hours (1)'!$A$19:$P$103,16)</f>
        <v>0.76536742273804459</v>
      </c>
      <c r="AD25" s="6">
        <f t="shared" si="26"/>
        <v>1.9241534392621315E-2</v>
      </c>
    </row>
    <row r="26" spans="1:30" x14ac:dyDescent="0.25">
      <c r="A26" s="39">
        <f>'hours (1)'!$A26*'hours (1)'!$B26/'hours (1)'!$A$105</f>
        <v>4.418785229213182E-3</v>
      </c>
      <c r="B26" s="9">
        <f>'hours (3)'!$E26</f>
        <v>13.19442501958761</v>
      </c>
      <c r="C26" s="26">
        <f t="shared" si="19"/>
        <v>15</v>
      </c>
      <c r="D26" s="25">
        <f t="shared" si="2"/>
        <v>2.6503321087079863</v>
      </c>
      <c r="E26" s="25">
        <f t="shared" si="20"/>
        <v>1.4626959797099919E-2</v>
      </c>
      <c r="F26" s="25">
        <f t="shared" si="3"/>
        <v>1.2904627542391229E-2</v>
      </c>
      <c r="G26" s="30">
        <f t="shared" si="4"/>
        <v>3.0814784610468623E-6</v>
      </c>
      <c r="H26" s="9">
        <f>'hours (3)'!$K26</f>
        <v>14.759469070866002</v>
      </c>
      <c r="I26" s="7">
        <f t="shared" si="5"/>
        <v>0</v>
      </c>
      <c r="J26" s="9">
        <f t="shared" si="6"/>
        <v>0.44836181735621361</v>
      </c>
      <c r="K26" s="18">
        <f t="shared" si="21"/>
        <v>1.1278129154281374E-2</v>
      </c>
      <c r="L26" s="19">
        <f t="shared" si="7"/>
        <v>1.1847329689307837E-2</v>
      </c>
      <c r="M26" s="19">
        <f t="shared" si="8"/>
        <v>2.8744833795317615E-2</v>
      </c>
      <c r="N26" s="19">
        <f t="shared" si="9"/>
        <v>1.2040665981902735E-2</v>
      </c>
      <c r="O26" s="19">
        <f t="shared" si="10"/>
        <v>-9.4349003169125201E-5</v>
      </c>
      <c r="P26" s="21">
        <f t="shared" si="11"/>
        <v>28.589715678949883</v>
      </c>
      <c r="Q26" s="9">
        <f t="shared" si="22"/>
        <v>1.9370422839520474</v>
      </c>
      <c r="R26" s="9">
        <f t="shared" si="12"/>
        <v>5.3469351668923277</v>
      </c>
      <c r="S26" s="6">
        <f t="shared" si="23"/>
        <v>2.6782205271667994E-2</v>
      </c>
      <c r="T26" s="6">
        <f t="shared" si="13"/>
        <v>1.9780602789468544E-2</v>
      </c>
      <c r="U26" s="6">
        <f t="shared" si="14"/>
        <v>0.81643837235068462</v>
      </c>
      <c r="V26" s="6">
        <f t="shared" si="15"/>
        <v>-1.6165353385385089E-2</v>
      </c>
      <c r="W26" s="6">
        <f t="shared" si="16"/>
        <v>-0.31352274239118488</v>
      </c>
      <c r="X26" s="6">
        <f t="shared" si="17"/>
        <v>-0.32968809577656999</v>
      </c>
      <c r="Y26">
        <f t="shared" si="18"/>
        <v>0.39589513426594786</v>
      </c>
      <c r="AA26" s="43">
        <f t="shared" si="24"/>
        <v>15</v>
      </c>
      <c r="AB26" s="6">
        <f t="shared" si="25"/>
        <v>2.3644700191882868E-2</v>
      </c>
      <c r="AC26" s="6">
        <f>VLOOKUP($C26,'hours (1)'!$A$19:$P$103,16)</f>
        <v>0.61425585732695664</v>
      </c>
      <c r="AD26" s="6">
        <f t="shared" si="26"/>
        <v>3.3242897645287747E-2</v>
      </c>
    </row>
    <row r="27" spans="1:30" x14ac:dyDescent="0.25">
      <c r="A27" s="39">
        <f>'hours (1)'!$A27*'hours (1)'!$B27/'hours (1)'!$A$105</f>
        <v>2.1206169827711033E-3</v>
      </c>
      <c r="B27" s="9">
        <f>'hours (3)'!$E27</f>
        <v>14.19442501958761</v>
      </c>
      <c r="C27" s="26">
        <f t="shared" si="19"/>
        <v>16</v>
      </c>
      <c r="D27" s="25">
        <f t="shared" si="2"/>
        <v>2.4846863519137372</v>
      </c>
      <c r="E27" s="25">
        <f t="shared" si="20"/>
        <v>1.3662428337973195E-2</v>
      </c>
      <c r="F27" s="25">
        <f t="shared" si="3"/>
        <v>1.20477418491838E-2</v>
      </c>
      <c r="G27" s="30">
        <f t="shared" si="4"/>
        <v>3.5244418276837647E-6</v>
      </c>
      <c r="H27" s="9">
        <f>'hours (3)'!$K27</f>
        <v>15.759469070866002</v>
      </c>
      <c r="I27" s="7">
        <f t="shared" si="5"/>
        <v>0</v>
      </c>
      <c r="J27" s="9">
        <f t="shared" si="6"/>
        <v>0.41836844880738211</v>
      </c>
      <c r="K27" s="18">
        <f t="shared" si="21"/>
        <v>1.0523673553533964E-2</v>
      </c>
      <c r="L27" s="19">
        <f t="shared" si="7"/>
        <v>1.0383417097695982E-2</v>
      </c>
      <c r="M27" s="19">
        <f t="shared" si="8"/>
        <v>3.0501221735958227E-2</v>
      </c>
      <c r="N27" s="19">
        <f t="shared" si="9"/>
        <v>1.3771514990687338E-2</v>
      </c>
      <c r="O27" s="19">
        <f t="shared" si="10"/>
        <v>-5.89668237451213E-5</v>
      </c>
      <c r="P27" s="21">
        <f t="shared" si="11"/>
        <v>29.495448096905548</v>
      </c>
      <c r="Q27" s="9">
        <f t="shared" si="22"/>
        <v>1.8716016360876513</v>
      </c>
      <c r="R27" s="9">
        <f t="shared" si="12"/>
        <v>5.4309711927891451</v>
      </c>
      <c r="S27" s="6">
        <f t="shared" si="23"/>
        <v>2.6367791345338936E-2</v>
      </c>
      <c r="T27" s="6">
        <f t="shared" si="13"/>
        <v>1.9810467947080395E-2</v>
      </c>
      <c r="U27" s="6">
        <f t="shared" si="14"/>
        <v>0.78184088826249365</v>
      </c>
      <c r="V27" s="6">
        <f t="shared" si="15"/>
        <v>-1.5147326774342232E-2</v>
      </c>
      <c r="W27" s="6">
        <f t="shared" si="16"/>
        <v>-0.28335188087413188</v>
      </c>
      <c r="X27" s="6">
        <f t="shared" si="17"/>
        <v>-0.29849920764847415</v>
      </c>
      <c r="Y27">
        <f t="shared" si="18"/>
        <v>0.41120758235580468</v>
      </c>
      <c r="AA27" s="43">
        <f t="shared" si="24"/>
        <v>16</v>
      </c>
      <c r="AB27" s="6">
        <f t="shared" si="25"/>
        <v>2.8566072182778346E-2</v>
      </c>
      <c r="AC27" s="6">
        <f>VLOOKUP($C27,'hours (1)'!$A$19:$P$103,16)</f>
        <v>0.67759767184437258</v>
      </c>
      <c r="AD27" s="6">
        <f t="shared" si="26"/>
        <v>4.0404770033033478E-2</v>
      </c>
    </row>
    <row r="28" spans="1:30" x14ac:dyDescent="0.25">
      <c r="A28" s="39">
        <f>'hours (1)'!$A28*'hours (1)'!$B28/'hours (1)'!$A$105</f>
        <v>3.8077406738622752E-4</v>
      </c>
      <c r="B28" s="9">
        <f>'hours (3)'!$E28</f>
        <v>15.19442501958761</v>
      </c>
      <c r="C28" s="26">
        <f t="shared" si="19"/>
        <v>17</v>
      </c>
      <c r="D28" s="25">
        <f t="shared" si="2"/>
        <v>2.3385283312129292</v>
      </c>
      <c r="E28" s="25">
        <f t="shared" si="20"/>
        <v>1.2817384255728511E-2</v>
      </c>
      <c r="F28" s="25">
        <f t="shared" si="3"/>
        <v>1.1297679325103196E-2</v>
      </c>
      <c r="G28" s="30">
        <f t="shared" si="4"/>
        <v>3.9121834173598203E-6</v>
      </c>
      <c r="H28" s="9">
        <f>'hours (3)'!$K28</f>
        <v>16.759469070866004</v>
      </c>
      <c r="I28" s="7">
        <f t="shared" si="5"/>
        <v>0</v>
      </c>
      <c r="J28" s="9">
        <f t="shared" si="6"/>
        <v>0.39213932262478085</v>
      </c>
      <c r="K28" s="18">
        <f t="shared" si="21"/>
        <v>9.8639040075105995E-3</v>
      </c>
      <c r="L28" s="19">
        <f t="shared" si="7"/>
        <v>9.1056711598878903E-3</v>
      </c>
      <c r="M28" s="19">
        <f t="shared" si="8"/>
        <v>3.2039282844774718E-2</v>
      </c>
      <c r="N28" s="19">
        <f t="shared" si="9"/>
        <v>1.5286588689107835E-2</v>
      </c>
      <c r="O28" s="19">
        <f t="shared" si="10"/>
        <v>-3.6984121666652769E-5</v>
      </c>
      <c r="P28" s="21">
        <f t="shared" si="11"/>
        <v>30.205325317685894</v>
      </c>
      <c r="Q28" s="9">
        <f t="shared" si="22"/>
        <v>1.8022841409811503</v>
      </c>
      <c r="R28" s="9">
        <f t="shared" si="12"/>
        <v>5.4959371646413402</v>
      </c>
      <c r="S28" s="6">
        <f t="shared" si="23"/>
        <v>2.6056104886955343E-2</v>
      </c>
      <c r="T28" s="6">
        <f t="shared" si="13"/>
        <v>1.9890042295977239E-2</v>
      </c>
      <c r="U28" s="6">
        <f t="shared" si="14"/>
        <v>0.75303157474842197</v>
      </c>
      <c r="V28" s="6">
        <f t="shared" si="15"/>
        <v>-1.4249927853332399E-2</v>
      </c>
      <c r="W28" s="6">
        <f t="shared" si="16"/>
        <v>-0.26046698557701359</v>
      </c>
      <c r="X28" s="6">
        <f t="shared" si="17"/>
        <v>-0.27471691343034599</v>
      </c>
      <c r="Y28">
        <f t="shared" si="18"/>
        <v>0.42713401243229915</v>
      </c>
      <c r="AA28" s="43">
        <f t="shared" si="24"/>
        <v>17</v>
      </c>
      <c r="AB28" s="6">
        <f t="shared" si="25"/>
        <v>2.9417016546872673E-2</v>
      </c>
      <c r="AC28" s="6">
        <f>VLOOKUP($C28,'hours (1)'!$A$19:$P$103,16)</f>
        <v>0.70159704938896383</v>
      </c>
      <c r="AD28" s="6">
        <f t="shared" si="26"/>
        <v>4.1686974838385342E-2</v>
      </c>
    </row>
    <row r="29" spans="1:30" x14ac:dyDescent="0.25">
      <c r="A29" s="39">
        <f>'hours (1)'!$A29*'hours (1)'!$B29/'hours (1)'!$A$105</f>
        <v>1.1795378188566624E-3</v>
      </c>
      <c r="B29" s="9">
        <f>'hours (3)'!$E29</f>
        <v>16.194425019587609</v>
      </c>
      <c r="C29" s="26">
        <f t="shared" si="19"/>
        <v>18</v>
      </c>
      <c r="D29" s="25">
        <f t="shared" si="2"/>
        <v>2.2086100905899886</v>
      </c>
      <c r="E29" s="25">
        <f t="shared" si="20"/>
        <v>1.207089587744121E-2</v>
      </c>
      <c r="F29" s="25">
        <f t="shared" si="3"/>
        <v>1.0635618998517301E-2</v>
      </c>
      <c r="G29" s="30">
        <f t="shared" si="4"/>
        <v>4.2544326502574717E-6</v>
      </c>
      <c r="H29" s="9">
        <f>'hours (3)'!$K29</f>
        <v>17.759469070866004</v>
      </c>
      <c r="I29" s="7">
        <f t="shared" si="5"/>
        <v>0</v>
      </c>
      <c r="J29" s="9">
        <f t="shared" si="6"/>
        <v>0.36900717616656292</v>
      </c>
      <c r="K29" s="18">
        <f t="shared" si="21"/>
        <v>9.2820361381414623E-3</v>
      </c>
      <c r="L29" s="19">
        <f t="shared" si="7"/>
        <v>7.9807006989916357E-3</v>
      </c>
      <c r="M29" s="19">
        <f t="shared" si="8"/>
        <v>3.3397381890706887E-2</v>
      </c>
      <c r="N29" s="19">
        <f t="shared" si="9"/>
        <v>1.6623904119988073E-2</v>
      </c>
      <c r="O29" s="19">
        <f t="shared" si="10"/>
        <v>-2.3280032694167341E-5</v>
      </c>
      <c r="P29" s="21">
        <f t="shared" si="11"/>
        <v>30.773696675409969</v>
      </c>
      <c r="Q29" s="9">
        <f t="shared" si="22"/>
        <v>1.7328049927964064</v>
      </c>
      <c r="R29" s="9">
        <f t="shared" si="12"/>
        <v>5.5474044989895921</v>
      </c>
      <c r="S29" s="6">
        <f t="shared" si="23"/>
        <v>2.5814363318934774E-2</v>
      </c>
      <c r="T29" s="6">
        <f t="shared" si="13"/>
        <v>1.9995499316291351E-2</v>
      </c>
      <c r="U29" s="6">
        <f t="shared" si="14"/>
        <v>0.72897085573525855</v>
      </c>
      <c r="V29" s="6">
        <f t="shared" si="15"/>
        <v>-1.3452915437440658E-2</v>
      </c>
      <c r="W29" s="6">
        <f t="shared" si="16"/>
        <v>-0.24262192078605299</v>
      </c>
      <c r="X29" s="6">
        <f t="shared" si="17"/>
        <v>-0.25607483622349347</v>
      </c>
      <c r="Y29">
        <f t="shared" si="18"/>
        <v>0.44291035820028202</v>
      </c>
      <c r="AA29" s="43">
        <f t="shared" si="24"/>
        <v>18</v>
      </c>
      <c r="AB29" s="6">
        <f t="shared" si="25"/>
        <v>3.1951398705332562E-2</v>
      </c>
      <c r="AC29" s="6">
        <f>VLOOKUP($C29,'hours (1)'!$A$19:$P$103,16)</f>
        <v>0.60885409318940575</v>
      </c>
      <c r="AD29" s="6">
        <f t="shared" si="26"/>
        <v>4.5000984823647394E-2</v>
      </c>
    </row>
    <row r="30" spans="1:30" x14ac:dyDescent="0.25">
      <c r="A30" s="39">
        <f>'hours (1)'!$A30*'hours (1)'!$B30/'hours (1)'!$A$105</f>
        <v>1.5061221130474982E-4</v>
      </c>
      <c r="B30" s="9">
        <f>'hours (3)'!$E30</f>
        <v>17.194425019587609</v>
      </c>
      <c r="C30" s="26">
        <f t="shared" si="19"/>
        <v>19</v>
      </c>
      <c r="D30" s="25">
        <f t="shared" si="2"/>
        <v>2.092367454243147</v>
      </c>
      <c r="E30" s="25">
        <f t="shared" si="20"/>
        <v>1.1406655451714128E-2</v>
      </c>
      <c r="F30" s="25">
        <f t="shared" si="3"/>
        <v>1.0046919461154635E-2</v>
      </c>
      <c r="G30" s="30">
        <f t="shared" si="4"/>
        <v>4.558758339290335E-6</v>
      </c>
      <c r="H30" s="9">
        <f>'hours (3)'!$K30</f>
        <v>18.759469070866004</v>
      </c>
      <c r="I30" s="7">
        <f t="shared" si="5"/>
        <v>0</v>
      </c>
      <c r="J30" s="9">
        <f t="shared" si="6"/>
        <v>0.34845375016095115</v>
      </c>
      <c r="K30" s="18">
        <f t="shared" si="21"/>
        <v>8.7650336100914619E-3</v>
      </c>
      <c r="L30" s="19">
        <f t="shared" si="7"/>
        <v>6.9826500716379941E-3</v>
      </c>
      <c r="M30" s="19">
        <f t="shared" si="8"/>
        <v>3.4605384743097226E-2</v>
      </c>
      <c r="N30" s="19">
        <f t="shared" si="9"/>
        <v>1.7813035901266937E-2</v>
      </c>
      <c r="O30" s="19">
        <f t="shared" si="10"/>
        <v>-1.4667348835248339E-5</v>
      </c>
      <c r="P30" s="21">
        <f t="shared" si="11"/>
        <v>31.237576267493839</v>
      </c>
      <c r="Q30" s="9">
        <f t="shared" si="22"/>
        <v>1.6651631317224589</v>
      </c>
      <c r="R30" s="9">
        <f t="shared" si="12"/>
        <v>5.5890586208675463</v>
      </c>
      <c r="S30" s="6">
        <f t="shared" si="23"/>
        <v>2.5621974097631211E-2</v>
      </c>
      <c r="T30" s="6">
        <f t="shared" si="13"/>
        <v>2.0113292860857227E-2</v>
      </c>
      <c r="U30" s="6">
        <f t="shared" si="14"/>
        <v>0.70872942882833889</v>
      </c>
      <c r="V30" s="6">
        <f t="shared" si="15"/>
        <v>-1.2740337115391905E-2</v>
      </c>
      <c r="W30" s="6">
        <f t="shared" si="16"/>
        <v>-0.22837308247878924</v>
      </c>
      <c r="X30" s="6">
        <f t="shared" si="17"/>
        <v>-0.24111341959418128</v>
      </c>
      <c r="Y30">
        <f t="shared" si="18"/>
        <v>0.45813906683960548</v>
      </c>
      <c r="AA30" s="43">
        <f t="shared" si="24"/>
        <v>19</v>
      </c>
      <c r="AB30" s="6">
        <f t="shared" si="25"/>
        <v>3.2262375163941912E-2</v>
      </c>
      <c r="AC30" s="6">
        <f>VLOOKUP($C30,'hours (1)'!$A$19:$P$103,16)</f>
        <v>0.7770279368612194</v>
      </c>
      <c r="AD30" s="6">
        <f t="shared" si="26"/>
        <v>4.5519943320511014E-2</v>
      </c>
    </row>
    <row r="31" spans="1:30" x14ac:dyDescent="0.25">
      <c r="A31" s="39">
        <f>'hours (1)'!$A31*'hours (1)'!$B31/'hours (1)'!$A$105</f>
        <v>1.9264596892108569E-2</v>
      </c>
      <c r="B31" s="9">
        <f>'hours (3)'!$E31</f>
        <v>18.194425019587609</v>
      </c>
      <c r="C31" s="26">
        <f t="shared" si="19"/>
        <v>20</v>
      </c>
      <c r="D31" s="25">
        <f t="shared" si="2"/>
        <v>1.9877490815309897</v>
      </c>
      <c r="E31" s="25">
        <f t="shared" si="20"/>
        <v>1.0811768078753795E-2</v>
      </c>
      <c r="F31" s="25">
        <f t="shared" si="3"/>
        <v>9.5200188877222775E-3</v>
      </c>
      <c r="G31" s="30">
        <f t="shared" si="4"/>
        <v>4.8311373202217067E-6</v>
      </c>
      <c r="H31" s="9">
        <f>'hours (3)'!$K31</f>
        <v>19.759469070866004</v>
      </c>
      <c r="I31" s="7">
        <f t="shared" si="5"/>
        <v>0</v>
      </c>
      <c r="J31" s="9">
        <f t="shared" si="6"/>
        <v>0.33007037409037859</v>
      </c>
      <c r="K31" s="18">
        <f t="shared" si="21"/>
        <v>8.3026166923481654E-3</v>
      </c>
      <c r="L31" s="19">
        <f t="shared" si="7"/>
        <v>6.0911867977447437E-3</v>
      </c>
      <c r="M31" s="19">
        <f t="shared" si="8"/>
        <v>3.568689009205004E-2</v>
      </c>
      <c r="N31" s="19">
        <f t="shared" si="9"/>
        <v>1.8877338109230941E-2</v>
      </c>
      <c r="O31" s="19">
        <f t="shared" si="10"/>
        <v>-9.213148290956874E-6</v>
      </c>
      <c r="P31" s="21">
        <f t="shared" si="11"/>
        <v>31.622580443828568</v>
      </c>
      <c r="Q31" s="9">
        <f t="shared" si="22"/>
        <v>1.6003760187288594</v>
      </c>
      <c r="R31" s="9">
        <f t="shared" si="12"/>
        <v>5.6233958107026902</v>
      </c>
      <c r="S31" s="6">
        <f t="shared" si="23"/>
        <v>2.5465522974829742E-2</v>
      </c>
      <c r="T31" s="6">
        <f t="shared" si="13"/>
        <v>2.0235628643565085E-2</v>
      </c>
      <c r="U31" s="6">
        <f t="shared" si="14"/>
        <v>0.69154987429961456</v>
      </c>
      <c r="V31" s="6">
        <f t="shared" si="15"/>
        <v>-1.2099450478543501E-2</v>
      </c>
      <c r="W31" s="6">
        <f t="shared" si="16"/>
        <v>-0.21676427039435031</v>
      </c>
      <c r="X31" s="6">
        <f t="shared" si="17"/>
        <v>-0.22886372087289392</v>
      </c>
      <c r="Y31">
        <f t="shared" si="18"/>
        <v>0.47262901725884099</v>
      </c>
      <c r="AA31" s="43">
        <f t="shared" si="24"/>
        <v>20</v>
      </c>
      <c r="AB31" s="6">
        <f t="shared" si="25"/>
        <v>7.0491336872939292E-2</v>
      </c>
      <c r="AC31" s="6">
        <f>VLOOKUP($C31,'hours (1)'!$A$19:$P$103,16)</f>
        <v>0.62853495092319212</v>
      </c>
      <c r="AD31" s="6">
        <f t="shared" si="26"/>
        <v>9.7124780880703754E-2</v>
      </c>
    </row>
    <row r="32" spans="1:30" x14ac:dyDescent="0.25">
      <c r="A32" s="39">
        <f>'hours (1)'!$A32*'hours (1)'!$B32/'hours (1)'!$A$105</f>
        <v>5.8128356710323138E-4</v>
      </c>
      <c r="B32" s="9">
        <f>'hours (3)'!$E32</f>
        <v>19.194425019587609</v>
      </c>
      <c r="C32" s="26">
        <f t="shared" si="19"/>
        <v>21</v>
      </c>
      <c r="D32" s="25">
        <f t="shared" si="2"/>
        <v>1.8930943633628474</v>
      </c>
      <c r="E32" s="25">
        <f t="shared" si="20"/>
        <v>1.0275902620458896E-2</v>
      </c>
      <c r="F32" s="25">
        <f t="shared" si="3"/>
        <v>9.0456652956669749E-3</v>
      </c>
      <c r="G32" s="30">
        <f t="shared" si="4"/>
        <v>5.076352365564119E-6</v>
      </c>
      <c r="H32" s="9">
        <f>'hours (3)'!$K32</f>
        <v>20.759469070866004</v>
      </c>
      <c r="I32" s="7">
        <f t="shared" si="5"/>
        <v>0</v>
      </c>
      <c r="J32" s="9">
        <f t="shared" si="6"/>
        <v>0.31353044017049764</v>
      </c>
      <c r="K32" s="18">
        <f t="shared" si="21"/>
        <v>7.8865698664796376E-3</v>
      </c>
      <c r="L32" s="19">
        <f t="shared" si="7"/>
        <v>5.290101436724079E-3</v>
      </c>
      <c r="M32" s="19">
        <f t="shared" si="8"/>
        <v>3.6660792546917079E-2</v>
      </c>
      <c r="N32" s="19">
        <f t="shared" si="9"/>
        <v>1.9835499099816627E-2</v>
      </c>
      <c r="O32" s="19">
        <f t="shared" si="10"/>
        <v>-5.7420827814097519E-6</v>
      </c>
      <c r="P32" s="21">
        <f t="shared" si="11"/>
        <v>31.946815061107952</v>
      </c>
      <c r="Q32" s="9">
        <f t="shared" si="22"/>
        <v>1.538903280813783</v>
      </c>
      <c r="R32" s="9">
        <f t="shared" si="12"/>
        <v>5.6521513657286242</v>
      </c>
      <c r="S32" s="6">
        <f t="shared" si="23"/>
        <v>2.5335966068125691E-2</v>
      </c>
      <c r="T32" s="6">
        <f t="shared" si="13"/>
        <v>2.0357999872085086E-2</v>
      </c>
      <c r="U32" s="6">
        <f t="shared" si="14"/>
        <v>0.67683538890570494</v>
      </c>
      <c r="V32" s="6">
        <f t="shared" si="15"/>
        <v>-1.1519954373869415E-2</v>
      </c>
      <c r="W32" s="6">
        <f t="shared" si="16"/>
        <v>-0.20714271215850807</v>
      </c>
      <c r="X32" s="6">
        <f t="shared" si="17"/>
        <v>-0.21866266653237743</v>
      </c>
      <c r="Y32">
        <f t="shared" si="18"/>
        <v>0.48630426216540179</v>
      </c>
      <c r="AA32" s="43">
        <f t="shared" si="24"/>
        <v>21</v>
      </c>
      <c r="AB32" s="6">
        <f t="shared" si="25"/>
        <v>7.1600537006260234E-2</v>
      </c>
      <c r="AC32" s="6">
        <f>VLOOKUP($C32,'hours (1)'!$A$19:$P$103,16)</f>
        <v>0.60823820986997867</v>
      </c>
      <c r="AD32" s="6">
        <f t="shared" si="26"/>
        <v>9.8573726520807953E-2</v>
      </c>
    </row>
    <row r="33" spans="1:30" x14ac:dyDescent="0.25">
      <c r="A33" s="39">
        <f>'hours (1)'!$A33*'hours (1)'!$B33/'hours (1)'!$A$105</f>
        <v>6.8489502996424249E-4</v>
      </c>
      <c r="B33" s="9">
        <f>'hours (3)'!$E33</f>
        <v>20.194425019587609</v>
      </c>
      <c r="C33" s="26">
        <f t="shared" si="19"/>
        <v>22</v>
      </c>
      <c r="D33" s="25">
        <f t="shared" si="2"/>
        <v>1.8070446195736272</v>
      </c>
      <c r="E33" s="25">
        <f t="shared" si="20"/>
        <v>9.7906842673527832E-3</v>
      </c>
      <c r="F33" s="25">
        <f t="shared" si="3"/>
        <v>8.6163668209604943E-3</v>
      </c>
      <c r="G33" s="30">
        <f t="shared" si="4"/>
        <v>5.2982763621432478E-6</v>
      </c>
      <c r="H33" s="9">
        <f>'hours (3)'!$K33</f>
        <v>21.759469070866004</v>
      </c>
      <c r="I33" s="7">
        <f t="shared" si="5"/>
        <v>0</v>
      </c>
      <c r="J33" s="9">
        <f t="shared" si="6"/>
        <v>0.29856978074971902</v>
      </c>
      <c r="K33" s="18">
        <f t="shared" si="21"/>
        <v>7.5102482381668809E-3</v>
      </c>
      <c r="L33" s="19">
        <f t="shared" si="7"/>
        <v>4.5663128616639376E-3</v>
      </c>
      <c r="M33" s="19">
        <f t="shared" si="8"/>
        <v>3.7542399847852494E-2</v>
      </c>
      <c r="N33" s="19">
        <f t="shared" si="9"/>
        <v>2.0702651912973217E-2</v>
      </c>
      <c r="O33" s="19">
        <f t="shared" si="10"/>
        <v>-3.5306746952179502E-6</v>
      </c>
      <c r="P33" s="21">
        <f t="shared" si="11"/>
        <v>32.223357534139417</v>
      </c>
      <c r="Q33" s="9">
        <f t="shared" si="22"/>
        <v>1.4808889605345945</v>
      </c>
      <c r="R33" s="9">
        <f t="shared" si="12"/>
        <v>5.6765621228116068</v>
      </c>
      <c r="S33" s="6">
        <f t="shared" si="23"/>
        <v>2.5227014540815457E-2</v>
      </c>
      <c r="T33" s="6">
        <f t="shared" si="13"/>
        <v>2.0477820755527544E-2</v>
      </c>
      <c r="U33" s="6">
        <f t="shared" si="14"/>
        <v>0.66412054211708837</v>
      </c>
      <c r="V33" s="6">
        <f t="shared" si="15"/>
        <v>-1.0993430985061831E-2</v>
      </c>
      <c r="W33" s="6">
        <f t="shared" si="16"/>
        <v>-0.19905014746190344</v>
      </c>
      <c r="X33" s="6">
        <f t="shared" si="17"/>
        <v>-0.21004357844696511</v>
      </c>
      <c r="Y33">
        <f t="shared" si="18"/>
        <v>0.49915246016206632</v>
      </c>
      <c r="AA33" s="43">
        <f t="shared" si="24"/>
        <v>22</v>
      </c>
      <c r="AB33" s="6">
        <f t="shared" si="25"/>
        <v>7.2858179063404291E-2</v>
      </c>
      <c r="AC33" s="6">
        <f>VLOOKUP($C33,'hours (1)'!$A$19:$P$103,16)</f>
        <v>0.66033213534510571</v>
      </c>
      <c r="AD33" s="6">
        <f t="shared" si="26"/>
        <v>0.10035728751211587</v>
      </c>
    </row>
    <row r="34" spans="1:30" x14ac:dyDescent="0.25">
      <c r="A34" s="39">
        <f>'hours (1)'!$A34*'hours (1)'!$B34/'hours (1)'!$A$105</f>
        <v>6.7019129533823878E-4</v>
      </c>
      <c r="B34" s="9">
        <f>'hours (3)'!$E34</f>
        <v>21.194425019587609</v>
      </c>
      <c r="C34" s="26">
        <f t="shared" si="19"/>
        <v>23</v>
      </c>
      <c r="D34" s="25">
        <f t="shared" si="2"/>
        <v>1.7284774622008607</v>
      </c>
      <c r="E34" s="25">
        <f t="shared" si="20"/>
        <v>9.3492521052236759E-3</v>
      </c>
      <c r="F34" s="25">
        <f t="shared" si="3"/>
        <v>8.2259919391093131E-3</v>
      </c>
      <c r="G34" s="30">
        <f t="shared" si="4"/>
        <v>5.500078975124234E-6</v>
      </c>
      <c r="H34" s="9">
        <f>'hours (3)'!$K34</f>
        <v>22.759469070866004</v>
      </c>
      <c r="I34" s="7">
        <f t="shared" si="5"/>
        <v>0</v>
      </c>
      <c r="J34" s="9">
        <f t="shared" si="6"/>
        <v>0.28497242149810736</v>
      </c>
      <c r="K34" s="18">
        <f t="shared" si="21"/>
        <v>7.1682191717733802E-3</v>
      </c>
      <c r="L34" s="19">
        <f t="shared" si="7"/>
        <v>3.9091482808330386E-3</v>
      </c>
      <c r="M34" s="19">
        <f t="shared" si="8"/>
        <v>3.8344245931418913E-2</v>
      </c>
      <c r="N34" s="19">
        <f t="shared" si="9"/>
        <v>2.1491181798187393E-2</v>
      </c>
      <c r="O34" s="19">
        <f t="shared" si="10"/>
        <v>-2.12691214958316E-6</v>
      </c>
      <c r="P34" s="21">
        <f t="shared" si="11"/>
        <v>32.461849658076545</v>
      </c>
      <c r="Q34" s="9">
        <f t="shared" si="22"/>
        <v>1.4263008314034173</v>
      </c>
      <c r="R34" s="9">
        <f t="shared" si="12"/>
        <v>5.6975301366536488</v>
      </c>
      <c r="S34" s="6">
        <f t="shared" si="23"/>
        <v>2.5134174243809874E-2</v>
      </c>
      <c r="T34" s="6">
        <f t="shared" si="13"/>
        <v>2.0593649376522655E-2</v>
      </c>
      <c r="U34" s="6">
        <f t="shared" si="14"/>
        <v>0.65304223005923023</v>
      </c>
      <c r="V34" s="6">
        <f t="shared" si="15"/>
        <v>-1.0512934233702328E-2</v>
      </c>
      <c r="W34" s="6">
        <f t="shared" si="16"/>
        <v>-0.19215667990325183</v>
      </c>
      <c r="X34" s="6">
        <f t="shared" si="17"/>
        <v>-0.20266961413695417</v>
      </c>
      <c r="Y34">
        <f t="shared" si="18"/>
        <v>0.51119561039451167</v>
      </c>
      <c r="AA34" s="43">
        <f t="shared" si="24"/>
        <v>23</v>
      </c>
      <c r="AB34" s="6">
        <f t="shared" si="25"/>
        <v>7.4043457709084382E-2</v>
      </c>
      <c r="AC34" s="6">
        <f>VLOOKUP($C34,'hours (1)'!$A$19:$P$103,16)</f>
        <v>0.69853276468925896</v>
      </c>
      <c r="AD34" s="6">
        <f t="shared" si="26"/>
        <v>0.1021354675137451</v>
      </c>
    </row>
    <row r="35" spans="1:30" x14ac:dyDescent="0.25">
      <c r="A35" s="39">
        <f>'hours (1)'!$A35*'hours (1)'!$B35/'hours (1)'!$A$105</f>
        <v>6.0546651572067987E-3</v>
      </c>
      <c r="B35" s="9">
        <f>'hours (3)'!$E35</f>
        <v>22.194425019587609</v>
      </c>
      <c r="C35" s="26">
        <f t="shared" si="19"/>
        <v>24</v>
      </c>
      <c r="D35" s="25">
        <f t="shared" si="2"/>
        <v>1.6564575679424915</v>
      </c>
      <c r="E35" s="25">
        <f t="shared" si="20"/>
        <v>8.9459316262488452E-3</v>
      </c>
      <c r="F35" s="25">
        <f t="shared" si="3"/>
        <v>7.8694739670559146E-3</v>
      </c>
      <c r="G35" s="30">
        <f t="shared" si="4"/>
        <v>5.6843794044804578E-6</v>
      </c>
      <c r="H35" s="9">
        <f>'hours (3)'!$K35</f>
        <v>23.759469070866004</v>
      </c>
      <c r="I35" s="7">
        <f t="shared" si="5"/>
        <v>0</v>
      </c>
      <c r="J35" s="9">
        <f t="shared" si="6"/>
        <v>0.27256006658119458</v>
      </c>
      <c r="K35" s="18">
        <f t="shared" si="21"/>
        <v>6.8559977995629445E-3</v>
      </c>
      <c r="L35" s="19">
        <f t="shared" si="7"/>
        <v>3.3098133626996012E-3</v>
      </c>
      <c r="M35" s="19">
        <f t="shared" si="8"/>
        <v>3.9076692307328222E-2</v>
      </c>
      <c r="N35" s="19">
        <f t="shared" si="9"/>
        <v>2.2211323099920088E-2</v>
      </c>
      <c r="O35" s="19">
        <f t="shared" si="10"/>
        <v>-1.2441963850445825E-6</v>
      </c>
      <c r="P35" s="21">
        <f t="shared" si="11"/>
        <v>32.669536131259441</v>
      </c>
      <c r="Q35" s="9">
        <f t="shared" si="22"/>
        <v>1.3750112022208028</v>
      </c>
      <c r="R35" s="9">
        <f t="shared" si="12"/>
        <v>5.7157270868420094</v>
      </c>
      <c r="S35" s="6">
        <f t="shared" si="23"/>
        <v>2.5054155497324745E-2</v>
      </c>
      <c r="T35" s="6">
        <f t="shared" si="13"/>
        <v>2.0704734431799446E-2</v>
      </c>
      <c r="U35" s="6">
        <f t="shared" si="14"/>
        <v>0.64331564869575042</v>
      </c>
      <c r="V35" s="6">
        <f t="shared" si="15"/>
        <v>-1.007268160543846E-2</v>
      </c>
      <c r="W35" s="6">
        <f t="shared" si="16"/>
        <v>-0.18621944878572128</v>
      </c>
      <c r="X35" s="6">
        <f t="shared" si="17"/>
        <v>-0.19629213039115964</v>
      </c>
      <c r="Y35">
        <f t="shared" si="18"/>
        <v>0.52247333998783541</v>
      </c>
      <c r="AA35" s="43">
        <f t="shared" si="24"/>
        <v>24</v>
      </c>
      <c r="AB35" s="6">
        <f t="shared" si="25"/>
        <v>8.4366481032641397E-2</v>
      </c>
      <c r="AC35" s="6">
        <f>VLOOKUP($C35,'hours (1)'!$A$19:$P$103,16)</f>
        <v>0.69714167607863164</v>
      </c>
      <c r="AD35" s="6">
        <f t="shared" si="26"/>
        <v>0.11759144351783518</v>
      </c>
    </row>
    <row r="36" spans="1:30" x14ac:dyDescent="0.25">
      <c r="A36" s="39">
        <f>'hours (1)'!$A36*'hours (1)'!$B36/'hours (1)'!$A$105</f>
        <v>1.2872118231051756E-2</v>
      </c>
      <c r="B36" s="9">
        <f>'hours (3)'!$E36</f>
        <v>23.194425019587609</v>
      </c>
      <c r="C36" s="26">
        <f t="shared" si="19"/>
        <v>25</v>
      </c>
      <c r="D36" s="25">
        <f t="shared" si="2"/>
        <v>1.5901992652247918</v>
      </c>
      <c r="E36" s="25">
        <f t="shared" si="20"/>
        <v>8.5759887721019498E-3</v>
      </c>
      <c r="F36" s="25">
        <f t="shared" si="3"/>
        <v>7.5425894192767372E-3</v>
      </c>
      <c r="G36" s="30">
        <f t="shared" si="4"/>
        <v>5.8533609628536044E-6</v>
      </c>
      <c r="H36" s="9">
        <f>'hours (3)'!$K36</f>
        <v>24.759469070866004</v>
      </c>
      <c r="I36" s="7">
        <f t="shared" si="5"/>
        <v>0</v>
      </c>
      <c r="J36" s="9">
        <f t="shared" si="6"/>
        <v>0.26118422261046953</v>
      </c>
      <c r="K36" s="18">
        <f t="shared" si="21"/>
        <v>6.5698489069179224E-3</v>
      </c>
      <c r="L36" s="19">
        <f t="shared" si="7"/>
        <v>2.7609963686405919E-3</v>
      </c>
      <c r="M36" s="19">
        <f t="shared" si="8"/>
        <v>3.9748379403867121E-2</v>
      </c>
      <c r="N36" s="19">
        <f t="shared" si="9"/>
        <v>2.287160696274522E-2</v>
      </c>
      <c r="O36" s="19">
        <f t="shared" si="10"/>
        <v>-6.9836886448793045E-7</v>
      </c>
      <c r="P36" s="21">
        <f t="shared" si="11"/>
        <v>32.851955023977929</v>
      </c>
      <c r="Q36" s="9">
        <f t="shared" si="22"/>
        <v>1.3268440825588703</v>
      </c>
      <c r="R36" s="9">
        <f t="shared" si="12"/>
        <v>5.7316625008786</v>
      </c>
      <c r="S36" s="6">
        <f t="shared" si="23"/>
        <v>2.4984498859111002E-2</v>
      </c>
      <c r="T36" s="6">
        <f t="shared" si="13"/>
        <v>2.0810744769847449E-2</v>
      </c>
      <c r="U36" s="6">
        <f t="shared" si="14"/>
        <v>0.63471567566423781</v>
      </c>
      <c r="V36" s="6">
        <f t="shared" si="15"/>
        <v>-9.6678203000461222E-3</v>
      </c>
      <c r="W36" s="6">
        <f t="shared" si="16"/>
        <v>-0.18105608016137451</v>
      </c>
      <c r="X36" s="6">
        <f t="shared" si="17"/>
        <v>-0.19072390046142063</v>
      </c>
      <c r="Y36">
        <f t="shared" si="18"/>
        <v>0.53303333247500229</v>
      </c>
      <c r="AA36" s="43">
        <f t="shared" si="24"/>
        <v>25</v>
      </c>
      <c r="AB36" s="6">
        <f t="shared" si="25"/>
        <v>0.10554426208448221</v>
      </c>
      <c r="AC36" s="6">
        <f>VLOOKUP($C36,'hours (1)'!$A$19:$P$103,16)</f>
        <v>0.62001171553543699</v>
      </c>
      <c r="AD36" s="6">
        <f t="shared" si="26"/>
        <v>0.14579142543778359</v>
      </c>
    </row>
    <row r="37" spans="1:30" x14ac:dyDescent="0.25">
      <c r="A37" s="39">
        <f>'hours (1)'!$A37*'hours (1)'!$B37/'hours (1)'!$A$105</f>
        <v>6.2421781477626419E-4</v>
      </c>
      <c r="B37" s="9">
        <f>'hours (3)'!$E37</f>
        <v>24.194425019587609</v>
      </c>
      <c r="C37" s="26">
        <f t="shared" si="19"/>
        <v>26</v>
      </c>
      <c r="D37" s="25">
        <f t="shared" si="2"/>
        <v>1.5290377550238383</v>
      </c>
      <c r="E37" s="25">
        <f t="shared" si="20"/>
        <v>8.2354427594311663E-3</v>
      </c>
      <c r="F37" s="25">
        <f t="shared" si="3"/>
        <v>7.2417895355607696E-3</v>
      </c>
      <c r="G37" s="30">
        <f t="shared" si="4"/>
        <v>6.0088581665425443E-6</v>
      </c>
      <c r="H37" s="9">
        <f>'hours (3)'!$K37</f>
        <v>25.759469070866004</v>
      </c>
      <c r="I37" s="7">
        <f t="shared" si="5"/>
        <v>0</v>
      </c>
      <c r="J37" s="9">
        <f t="shared" si="6"/>
        <v>0.25072021955599932</v>
      </c>
      <c r="K37" s="18">
        <f t="shared" si="21"/>
        <v>6.3066365338951989E-3</v>
      </c>
      <c r="L37" s="19">
        <f t="shared" si="7"/>
        <v>2.2565683509397638E-3</v>
      </c>
      <c r="M37" s="19">
        <f t="shared" si="8"/>
        <v>4.0366569826182794E-2</v>
      </c>
      <c r="N37" s="19">
        <f t="shared" si="9"/>
        <v>2.3479201633422344E-2</v>
      </c>
      <c r="O37" s="19">
        <f t="shared" si="10"/>
        <v>-3.6974516355592346E-7</v>
      </c>
      <c r="P37" s="21">
        <f t="shared" si="11"/>
        <v>33.013406214787217</v>
      </c>
      <c r="Q37" s="9">
        <f t="shared" si="22"/>
        <v>1.281602742819161</v>
      </c>
      <c r="R37" s="9">
        <f t="shared" si="12"/>
        <v>5.7457293892757617</v>
      </c>
      <c r="S37" s="6">
        <f t="shared" si="23"/>
        <v>2.4923330966699273E-2</v>
      </c>
      <c r="T37" s="6">
        <f t="shared" si="13"/>
        <v>2.0911604832196021E-2</v>
      </c>
      <c r="U37" s="6">
        <f t="shared" si="14"/>
        <v>0.62706280765380573</v>
      </c>
      <c r="V37" s="6">
        <f t="shared" si="15"/>
        <v>-9.2942476007584277E-3</v>
      </c>
      <c r="W37" s="6">
        <f t="shared" si="16"/>
        <v>-0.17652718178526011</v>
      </c>
      <c r="X37" s="6">
        <f t="shared" si="17"/>
        <v>-0.18582142938601845</v>
      </c>
      <c r="Y37">
        <f t="shared" si="18"/>
        <v>0.54292586973633206</v>
      </c>
      <c r="AA37" s="43">
        <f t="shared" si="24"/>
        <v>26</v>
      </c>
      <c r="AB37" s="6">
        <f t="shared" si="25"/>
        <v>0.10653623571870391</v>
      </c>
      <c r="AC37" s="6">
        <f>VLOOKUP($C37,'hours (1)'!$A$19:$P$103,16)</f>
        <v>0.7536528778924938</v>
      </c>
      <c r="AD37" s="6">
        <f t="shared" si="26"/>
        <v>0.14739703509282853</v>
      </c>
    </row>
    <row r="38" spans="1:30" x14ac:dyDescent="0.25">
      <c r="A38" s="39">
        <f>'hours (1)'!$A38*'hours (1)'!$B38/'hours (1)'!$A$105</f>
        <v>7.8317122395807619E-4</v>
      </c>
      <c r="B38" s="9">
        <f>'hours (3)'!$E38</f>
        <v>25.194425019587609</v>
      </c>
      <c r="C38" s="26">
        <f t="shared" si="19"/>
        <v>27</v>
      </c>
      <c r="D38" s="25">
        <f t="shared" si="2"/>
        <v>1.4724067270599923</v>
      </c>
      <c r="E38" s="25">
        <f t="shared" si="20"/>
        <v>7.9209219179048624E-3</v>
      </c>
      <c r="F38" s="25">
        <f t="shared" si="3"/>
        <v>6.9640706652889239E-3</v>
      </c>
      <c r="G38" s="30">
        <f t="shared" si="4"/>
        <v>6.1524237397915705E-6</v>
      </c>
      <c r="H38" s="9">
        <f>'hours (3)'!$K38</f>
        <v>26.759469070866004</v>
      </c>
      <c r="I38" s="7">
        <f t="shared" si="5"/>
        <v>0</v>
      </c>
      <c r="J38" s="9">
        <f t="shared" si="6"/>
        <v>0.24106261600391632</v>
      </c>
      <c r="K38" s="18">
        <f t="shared" si="21"/>
        <v>6.0637083987040959E-3</v>
      </c>
      <c r="L38" s="19">
        <f t="shared" si="7"/>
        <v>1.7913532745776894E-3</v>
      </c>
      <c r="M38" s="19">
        <f t="shared" si="8"/>
        <v>4.0937412579304146E-2</v>
      </c>
      <c r="N38" s="19">
        <f t="shared" si="9"/>
        <v>2.404017427556265E-2</v>
      </c>
      <c r="O38" s="19">
        <f t="shared" si="10"/>
        <v>-1.7983822915568215E-7</v>
      </c>
      <c r="P38" s="21">
        <f t="shared" si="11"/>
        <v>33.157275494618617</v>
      </c>
      <c r="Q38" s="9">
        <f t="shared" si="22"/>
        <v>1.2390857010955474</v>
      </c>
      <c r="R38" s="9">
        <f t="shared" si="12"/>
        <v>5.7582354497379331</v>
      </c>
      <c r="S38" s="6">
        <f t="shared" si="23"/>
        <v>2.4869201071055207E-2</v>
      </c>
      <c r="T38" s="6">
        <f t="shared" si="13"/>
        <v>2.100739293843305E-2</v>
      </c>
      <c r="U38" s="6">
        <f t="shared" si="14"/>
        <v>0.6202126269670607</v>
      </c>
      <c r="V38" s="6">
        <f t="shared" si="15"/>
        <v>-8.9484713422456896E-3</v>
      </c>
      <c r="W38" s="6">
        <f t="shared" si="16"/>
        <v>-0.17252452146081676</v>
      </c>
      <c r="X38" s="6">
        <f t="shared" si="17"/>
        <v>-0.18147299280306251</v>
      </c>
      <c r="Y38">
        <f t="shared" si="18"/>
        <v>0.55220076993326073</v>
      </c>
      <c r="AA38" s="43">
        <f t="shared" si="24"/>
        <v>27</v>
      </c>
      <c r="AB38" s="6">
        <f t="shared" si="25"/>
        <v>0.10773952101294618</v>
      </c>
      <c r="AC38" s="6">
        <f>VLOOKUP($C38,'hours (1)'!$A$19:$P$103,16)</f>
        <v>0.68938735668071227</v>
      </c>
      <c r="AD38" s="6">
        <f t="shared" si="26"/>
        <v>0.14917859488789953</v>
      </c>
    </row>
    <row r="39" spans="1:30" x14ac:dyDescent="0.25">
      <c r="A39" s="39">
        <f>'hours (1)'!$A39*'hours (1)'!$B39/'hours (1)'!$A$105</f>
        <v>2.3171448092864709E-3</v>
      </c>
      <c r="B39" s="9">
        <f>'hours (3)'!$E39</f>
        <v>26.194425019587609</v>
      </c>
      <c r="C39" s="26">
        <f t="shared" si="19"/>
        <v>28</v>
      </c>
      <c r="D39" s="25">
        <f t="shared" si="2"/>
        <v>1.4198207725221355</v>
      </c>
      <c r="E39" s="25">
        <f t="shared" si="20"/>
        <v>7.6295514296298777E-3</v>
      </c>
      <c r="F39" s="25">
        <f t="shared" si="3"/>
        <v>6.7068734360359377E-3</v>
      </c>
      <c r="G39" s="30">
        <f t="shared" si="4"/>
        <v>6.2853807391471505E-6</v>
      </c>
      <c r="H39" s="9">
        <f>'hours (3)'!$K39</f>
        <v>27.759469070866004</v>
      </c>
      <c r="I39" s="7">
        <f t="shared" si="5"/>
        <v>0</v>
      </c>
      <c r="J39" s="9">
        <f t="shared" si="6"/>
        <v>0.23212162861344587</v>
      </c>
      <c r="K39" s="18">
        <f t="shared" si="21"/>
        <v>5.8388060839817575E-3</v>
      </c>
      <c r="L39" s="19">
        <f t="shared" si="7"/>
        <v>1.3609497473937165E-3</v>
      </c>
      <c r="M39" s="19">
        <f t="shared" si="8"/>
        <v>4.1466148710236683E-2</v>
      </c>
      <c r="N39" s="19">
        <f t="shared" si="9"/>
        <v>2.4559694641982065E-2</v>
      </c>
      <c r="O39" s="19">
        <f t="shared" si="10"/>
        <v>-7.6847387772693843E-8</v>
      </c>
      <c r="P39" s="21">
        <f t="shared" si="11"/>
        <v>33.286263004727907</v>
      </c>
      <c r="Q39" s="9">
        <f t="shared" si="22"/>
        <v>1.1990958083439125</v>
      </c>
      <c r="R39" s="9">
        <f t="shared" si="12"/>
        <v>5.7694248417609106</v>
      </c>
      <c r="S39" s="6">
        <f t="shared" si="23"/>
        <v>2.4820969011930691E-2</v>
      </c>
      <c r="T39" s="6">
        <f t="shared" si="13"/>
        <v>2.1098277665827884E-2</v>
      </c>
      <c r="U39" s="6">
        <f t="shared" si="14"/>
        <v>0.61404791114515755</v>
      </c>
      <c r="V39" s="6">
        <f t="shared" si="15"/>
        <v>-8.6275004087634551E-3</v>
      </c>
      <c r="W39" s="6">
        <f t="shared" si="16"/>
        <v>-0.16896286738483529</v>
      </c>
      <c r="X39" s="6">
        <f t="shared" si="17"/>
        <v>-0.17759036779359891</v>
      </c>
      <c r="Y39">
        <f t="shared" si="18"/>
        <v>0.56090573199512228</v>
      </c>
      <c r="AA39" s="43">
        <f t="shared" si="24"/>
        <v>28</v>
      </c>
      <c r="AB39" s="6">
        <f t="shared" si="25"/>
        <v>0.11118474611251655</v>
      </c>
      <c r="AC39" s="6">
        <f>VLOOKUP($C39,'hours (1)'!$A$19:$P$103,16)</f>
        <v>0.71162305464185771</v>
      </c>
      <c r="AD39" s="6">
        <f t="shared" si="26"/>
        <v>0.15444405215045182</v>
      </c>
    </row>
    <row r="40" spans="1:30" x14ac:dyDescent="0.25">
      <c r="A40" s="39">
        <f>'hours (1)'!$A40*'hours (1)'!$B40/'hours (1)'!$A$105</f>
        <v>3.744736305342058E-4</v>
      </c>
      <c r="B40" s="9">
        <f>'hours (3)'!$E40</f>
        <v>27.194425019587609</v>
      </c>
      <c r="C40" s="26">
        <f t="shared" si="19"/>
        <v>29</v>
      </c>
      <c r="D40" s="25">
        <f t="shared" si="2"/>
        <v>1.3708614355386137</v>
      </c>
      <c r="E40" s="25">
        <f t="shared" si="20"/>
        <v>7.358865023638239E-3</v>
      </c>
      <c r="F40" s="25">
        <f t="shared" si="3"/>
        <v>6.4680035125820202E-3</v>
      </c>
      <c r="G40" s="30">
        <f t="shared" si="4"/>
        <v>6.4088635167453906E-6</v>
      </c>
      <c r="H40" s="9">
        <f>'hours (3)'!$K40</f>
        <v>28.759469070866004</v>
      </c>
      <c r="I40" s="7">
        <f t="shared" si="5"/>
        <v>0</v>
      </c>
      <c r="J40" s="9">
        <f t="shared" si="6"/>
        <v>0.22382032889654008</v>
      </c>
      <c r="K40" s="18">
        <f t="shared" si="21"/>
        <v>5.6299945243629742E-3</v>
      </c>
      <c r="L40" s="19">
        <f t="shared" si="7"/>
        <v>9.6159132843996742E-4</v>
      </c>
      <c r="M40" s="19">
        <f t="shared" si="8"/>
        <v>4.1957272987206723E-2</v>
      </c>
      <c r="N40" s="19">
        <f t="shared" si="9"/>
        <v>2.5042195135940699E-2</v>
      </c>
      <c r="O40" s="19">
        <f t="shared" si="10"/>
        <v>-2.6467431385457374E-8</v>
      </c>
      <c r="P40" s="21">
        <f t="shared" si="11"/>
        <v>33.40254704895132</v>
      </c>
      <c r="Q40" s="9">
        <f t="shared" si="22"/>
        <v>1.1614451910306252</v>
      </c>
      <c r="R40" s="9">
        <f t="shared" si="12"/>
        <v>5.7794936671780617</v>
      </c>
      <c r="S40" s="6">
        <f t="shared" si="23"/>
        <v>2.4777726814939467E-2</v>
      </c>
      <c r="T40" s="6">
        <f t="shared" si="13"/>
        <v>2.1184477752243552E-2</v>
      </c>
      <c r="U40" s="6">
        <f t="shared" si="14"/>
        <v>0.60847269652207847</v>
      </c>
      <c r="V40" s="6">
        <f t="shared" si="15"/>
        <v>-8.3287579832355893E-3</v>
      </c>
      <c r="W40" s="6">
        <f t="shared" si="16"/>
        <v>-0.16577424327972629</v>
      </c>
      <c r="X40" s="6">
        <f t="shared" si="17"/>
        <v>-0.17410300126296191</v>
      </c>
      <c r="Y40">
        <f t="shared" si="18"/>
        <v>0.56908550832996019</v>
      </c>
      <c r="AA40" s="43">
        <f t="shared" si="24"/>
        <v>29</v>
      </c>
      <c r="AB40" s="6">
        <f t="shared" si="25"/>
        <v>0.11172404621559841</v>
      </c>
      <c r="AC40" s="6">
        <f>VLOOKUP($C40,'hours (1)'!$A$19:$P$103,16)</f>
        <v>0.80996890954765532</v>
      </c>
      <c r="AD40" s="6">
        <f t="shared" si="26"/>
        <v>0.15538219145620705</v>
      </c>
    </row>
    <row r="41" spans="1:30" x14ac:dyDescent="0.25">
      <c r="A41" s="39">
        <f>'hours (1)'!$A41*'hours (1)'!$B41/'hours (1)'!$A$105</f>
        <v>2.6237009772075728E-2</v>
      </c>
      <c r="B41" s="9">
        <f>'hours (3)'!$E41</f>
        <v>28.194425019587609</v>
      </c>
      <c r="C41" s="26">
        <f t="shared" si="19"/>
        <v>30</v>
      </c>
      <c r="D41" s="25">
        <f t="shared" si="2"/>
        <v>1.3251660543539932</v>
      </c>
      <c r="E41" s="25">
        <f t="shared" si="20"/>
        <v>7.1067348643545957E-3</v>
      </c>
      <c r="F41" s="25">
        <f t="shared" si="3"/>
        <v>6.2455687370002524E-3</v>
      </c>
      <c r="G41" s="30">
        <f t="shared" si="4"/>
        <v>6.5238502154729788E-6</v>
      </c>
      <c r="H41" s="9">
        <f>'hours (3)'!$K41</f>
        <v>29</v>
      </c>
      <c r="I41" s="7">
        <f t="shared" si="5"/>
        <v>0</v>
      </c>
      <c r="J41" s="9">
        <f t="shared" si="6"/>
        <v>0.21744061831169983</v>
      </c>
      <c r="K41" s="18">
        <f t="shared" si="21"/>
        <v>5.4695187720631292E-3</v>
      </c>
      <c r="L41" s="19">
        <f t="shared" si="7"/>
        <v>7.8681656950145562E-4</v>
      </c>
      <c r="M41" s="19">
        <f t="shared" si="8"/>
        <v>4.2448574857146121E-2</v>
      </c>
      <c r="N41" s="19">
        <f t="shared" si="9"/>
        <v>2.5491497783758071E-2</v>
      </c>
      <c r="O41" s="19">
        <f t="shared" si="10"/>
        <v>-1.4203357240338832E-8</v>
      </c>
      <c r="P41" s="21">
        <f t="shared" si="11"/>
        <v>33.453856153404928</v>
      </c>
      <c r="Q41" s="9">
        <f t="shared" si="22"/>
        <v>1.1535812466691355</v>
      </c>
      <c r="R41" s="9">
        <f t="shared" si="12"/>
        <v>5.783930856554643</v>
      </c>
      <c r="S41" s="6">
        <f t="shared" si="23"/>
        <v>2.4758718381241735E-2</v>
      </c>
      <c r="T41" s="6">
        <f t="shared" si="13"/>
        <v>2.119527233701686E-2</v>
      </c>
      <c r="U41" s="6">
        <f t="shared" si="14"/>
        <v>0.60337914347698718</v>
      </c>
      <c r="V41" s="6">
        <f t="shared" si="15"/>
        <v>-3.3901551675681339E-2</v>
      </c>
      <c r="W41" s="6">
        <f t="shared" si="16"/>
        <v>-0.13866654456489344</v>
      </c>
      <c r="X41" s="6">
        <f t="shared" si="17"/>
        <v>-0.1725680962405749</v>
      </c>
      <c r="Y41">
        <f t="shared" si="18"/>
        <v>0.57455865393108596</v>
      </c>
      <c r="AA41" s="43">
        <f t="shared" si="24"/>
        <v>29</v>
      </c>
      <c r="AB41" s="6">
        <f t="shared" si="25"/>
        <v>0.14925357109186324</v>
      </c>
      <c r="AC41" s="6">
        <f>VLOOKUP($C41,'hours (1)'!$A$19:$P$103,16)</f>
        <v>0.59836903719357315</v>
      </c>
      <c r="AD41" s="6">
        <f t="shared" si="26"/>
        <v>0.20361145818492829</v>
      </c>
    </row>
    <row r="42" spans="1:30" x14ac:dyDescent="0.25">
      <c r="A42" s="39">
        <f>'hours (1)'!$A42*'hours (1)'!$B42/'hours (1)'!$A$105</f>
        <v>2.528195908241891E-4</v>
      </c>
      <c r="B42" s="9">
        <f>'hours (3)'!$E42</f>
        <v>29.194425019587609</v>
      </c>
      <c r="C42" s="26">
        <f t="shared" si="19"/>
        <v>31</v>
      </c>
      <c r="D42" s="25">
        <f t="shared" si="2"/>
        <v>1.2824187622780578</v>
      </c>
      <c r="E42" s="25">
        <f t="shared" si="20"/>
        <v>6.8713154043590196E-3</v>
      </c>
      <c r="F42" s="25">
        <f t="shared" si="3"/>
        <v>6.0379288294999754E-3</v>
      </c>
      <c r="G42" s="30">
        <f t="shared" si="4"/>
        <v>6.6311887708994523E-6</v>
      </c>
      <c r="H42" s="9">
        <f>'hours (3)'!$K42</f>
        <v>29</v>
      </c>
      <c r="I42" s="7">
        <f t="shared" si="5"/>
        <v>0</v>
      </c>
      <c r="J42" s="9">
        <f t="shared" si="6"/>
        <v>0.21595764079403901</v>
      </c>
      <c r="K42" s="18">
        <f t="shared" si="21"/>
        <v>5.4322158365105533E-3</v>
      </c>
      <c r="L42" s="19">
        <f t="shared" si="7"/>
        <v>1.2764503553550632E-3</v>
      </c>
      <c r="M42" s="19">
        <f t="shared" si="8"/>
        <v>4.3019697671742317E-2</v>
      </c>
      <c r="N42" s="19">
        <f t="shared" si="9"/>
        <v>2.5910915835582148E-2</v>
      </c>
      <c r="O42" s="19">
        <f t="shared" si="10"/>
        <v>-5.9775398172923211E-8</v>
      </c>
      <c r="P42" s="21">
        <f t="shared" si="11"/>
        <v>33.323253269111845</v>
      </c>
      <c r="Q42" s="9">
        <f t="shared" si="22"/>
        <v>1.1490776989348912</v>
      </c>
      <c r="R42" s="9">
        <f t="shared" si="12"/>
        <v>5.772629666721385</v>
      </c>
      <c r="S42" s="6">
        <f t="shared" si="23"/>
        <v>2.4807189007734133E-2</v>
      </c>
      <c r="T42" s="6">
        <f t="shared" si="13"/>
        <v>2.1243742963509258E-2</v>
      </c>
      <c r="U42" s="6">
        <f t="shared" si="14"/>
        <v>0.60181997545131871</v>
      </c>
      <c r="V42" s="6">
        <f t="shared" si="15"/>
        <v>-6.6691374498672282E-2</v>
      </c>
      <c r="W42" s="6">
        <f t="shared" si="16"/>
        <v>-0.1097883331293622</v>
      </c>
      <c r="X42" s="6">
        <f t="shared" si="17"/>
        <v>-0.17647970762803458</v>
      </c>
      <c r="Y42">
        <f t="shared" si="18"/>
        <v>0.57674138498775585</v>
      </c>
      <c r="AA42" s="43">
        <f t="shared" si="24"/>
        <v>29</v>
      </c>
      <c r="AB42" s="6">
        <f t="shared" si="25"/>
        <v>0.14961379344764689</v>
      </c>
      <c r="AC42" s="6">
        <f>VLOOKUP($C42,'hours (1)'!$A$19:$P$103,16)</f>
        <v>0.81852105456597501</v>
      </c>
      <c r="AD42" s="6">
        <f t="shared" si="26"/>
        <v>0.20424469914289639</v>
      </c>
    </row>
    <row r="43" spans="1:30" x14ac:dyDescent="0.25">
      <c r="A43" s="39">
        <f>'hours (1)'!$A43*'hours (1)'!$B43/'hours (1)'!$A$105</f>
        <v>1.1357041596156411E-2</v>
      </c>
      <c r="B43" s="9">
        <f>'hours (3)'!$E43</f>
        <v>30.194425019587609</v>
      </c>
      <c r="C43" s="26">
        <f t="shared" si="19"/>
        <v>32</v>
      </c>
      <c r="D43" s="25">
        <f t="shared" si="2"/>
        <v>1.2423431759568686</v>
      </c>
      <c r="E43" s="25">
        <f t="shared" si="20"/>
        <v>6.6509980597828254E-3</v>
      </c>
      <c r="F43" s="25">
        <f t="shared" si="3"/>
        <v>5.8436548153881262E-3</v>
      </c>
      <c r="G43" s="30">
        <f t="shared" si="4"/>
        <v>6.7316178853346945E-6</v>
      </c>
      <c r="H43" s="9">
        <f>'hours (3)'!$K43</f>
        <v>29</v>
      </c>
      <c r="I43" s="7">
        <f t="shared" si="5"/>
        <v>0</v>
      </c>
      <c r="J43" s="9">
        <f t="shared" si="6"/>
        <v>0.21917052215615149</v>
      </c>
      <c r="K43" s="18">
        <f t="shared" si="21"/>
        <v>5.5130329122663599E-3</v>
      </c>
      <c r="L43" s="19">
        <f t="shared" si="7"/>
        <v>2.4060327020443001E-3</v>
      </c>
      <c r="M43" s="19">
        <f t="shared" si="8"/>
        <v>4.3669775802337774E-2</v>
      </c>
      <c r="N43" s="19">
        <f t="shared" si="9"/>
        <v>2.6303335720082078E-2</v>
      </c>
      <c r="O43" s="19">
        <f t="shared" si="10"/>
        <v>-3.9700973789025262E-7</v>
      </c>
      <c r="P43" s="21">
        <f t="shared" si="11"/>
        <v>33.022595809439039</v>
      </c>
      <c r="Q43" s="9">
        <f t="shared" si="22"/>
        <v>1.1387102003254841</v>
      </c>
      <c r="R43" s="9">
        <f t="shared" si="12"/>
        <v>5.7465290227613952</v>
      </c>
      <c r="S43" s="6">
        <f t="shared" si="23"/>
        <v>2.4919862867967747E-2</v>
      </c>
      <c r="T43" s="6">
        <f t="shared" si="13"/>
        <v>2.1356416823742872E-2</v>
      </c>
      <c r="U43" s="6">
        <f t="shared" si="14"/>
        <v>0.60392189032689447</v>
      </c>
      <c r="V43" s="6">
        <f t="shared" si="15"/>
        <v>-9.8440072813252524E-2</v>
      </c>
      <c r="W43" s="6">
        <f t="shared" si="16"/>
        <v>-8.7103035825614308E-2</v>
      </c>
      <c r="X43" s="6">
        <f t="shared" si="17"/>
        <v>-0.18554310863886683</v>
      </c>
      <c r="Y43">
        <f t="shared" si="18"/>
        <v>0.5762245830631576</v>
      </c>
      <c r="AA43" s="43">
        <f t="shared" si="24"/>
        <v>29</v>
      </c>
      <c r="AB43" s="6">
        <f t="shared" si="25"/>
        <v>0.16564953209228928</v>
      </c>
      <c r="AC43" s="6">
        <f>VLOOKUP($C43,'hours (1)'!$A$19:$P$103,16)</f>
        <v>0.71987074955486186</v>
      </c>
      <c r="AD43" s="6">
        <f t="shared" si="26"/>
        <v>0.22903672274365094</v>
      </c>
    </row>
    <row r="44" spans="1:30" x14ac:dyDescent="0.25">
      <c r="A44" s="39">
        <f>'hours (1)'!$A44*'hours (1)'!$B44/'hours (1)'!$A$105</f>
        <v>9.0926864084060538E-4</v>
      </c>
      <c r="B44" s="9">
        <f>'hours (3)'!$E44</f>
        <v>31.194425019587609</v>
      </c>
      <c r="C44" s="26">
        <f t="shared" si="19"/>
        <v>33</v>
      </c>
      <c r="D44" s="25">
        <f t="shared" si="2"/>
        <v>1.2046964130490847</v>
      </c>
      <c r="E44" s="25">
        <f t="shared" si="20"/>
        <v>6.444374349546025E-3</v>
      </c>
      <c r="F44" s="25">
        <f t="shared" si="3"/>
        <v>5.6614960519511658E-3</v>
      </c>
      <c r="G44" s="30">
        <f t="shared" si="4"/>
        <v>6.825784073140234E-6</v>
      </c>
      <c r="H44" s="9">
        <f>'hours (3)'!$K44</f>
        <v>29</v>
      </c>
      <c r="I44" s="7">
        <f t="shared" si="5"/>
        <v>0</v>
      </c>
      <c r="J44" s="9">
        <f t="shared" si="6"/>
        <v>0.22677320367760317</v>
      </c>
      <c r="K44" s="18">
        <f t="shared" si="21"/>
        <v>5.7042713737022466E-3</v>
      </c>
      <c r="L44" s="19">
        <f t="shared" si="7"/>
        <v>4.1351446421714622E-3</v>
      </c>
      <c r="M44" s="19">
        <f t="shared" si="8"/>
        <v>4.4394775252326192E-2</v>
      </c>
      <c r="N44" s="19">
        <f t="shared" si="9"/>
        <v>2.6671283647834405E-2</v>
      </c>
      <c r="O44" s="19">
        <f t="shared" si="10"/>
        <v>-2.0107807298525016E-6</v>
      </c>
      <c r="P44" s="21">
        <f t="shared" si="11"/>
        <v>32.56600293983994</v>
      </c>
      <c r="Q44" s="9">
        <f t="shared" si="22"/>
        <v>1.1229656186151704</v>
      </c>
      <c r="R44" s="9">
        <f t="shared" si="12"/>
        <v>5.7066630301639449</v>
      </c>
      <c r="S44" s="6">
        <f t="shared" si="23"/>
        <v>2.5093949731581865E-2</v>
      </c>
      <c r="T44" s="6">
        <f t="shared" si="13"/>
        <v>2.153050368735699E-2</v>
      </c>
      <c r="U44" s="6">
        <f t="shared" si="14"/>
        <v>0.6094359341033101</v>
      </c>
      <c r="V44" s="6">
        <f t="shared" si="15"/>
        <v>-0.12921173148000623</v>
      </c>
      <c r="W44" s="6">
        <f t="shared" si="16"/>
        <v>-7.0254536193368883E-2</v>
      </c>
      <c r="X44" s="6">
        <f t="shared" si="17"/>
        <v>-0.19946626767337519</v>
      </c>
      <c r="Y44">
        <f t="shared" si="18"/>
        <v>0.57330172322850759</v>
      </c>
      <c r="AA44" s="43">
        <f t="shared" si="24"/>
        <v>29</v>
      </c>
      <c r="AB44" s="6">
        <f t="shared" si="25"/>
        <v>0.1669156356089348</v>
      </c>
      <c r="AC44" s="6">
        <f>VLOOKUP($C44,'hours (1)'!$A$19:$P$103,16)</f>
        <v>0.72869783316357495</v>
      </c>
      <c r="AD44" s="6">
        <f t="shared" si="26"/>
        <v>0.23101818212129582</v>
      </c>
    </row>
    <row r="45" spans="1:30" x14ac:dyDescent="0.25">
      <c r="A45" s="39">
        <f>'hours (1)'!$A45*'hours (1)'!$B45/'hours (1)'!$A$105</f>
        <v>1.2454175232232191E-3</v>
      </c>
      <c r="B45" s="9">
        <f>'hours (3)'!$E45</f>
        <v>32.194425019587612</v>
      </c>
      <c r="C45" s="26">
        <f t="shared" si="19"/>
        <v>34</v>
      </c>
      <c r="D45" s="25">
        <f t="shared" si="2"/>
        <v>1.1692641656064646</v>
      </c>
      <c r="E45" s="25">
        <f t="shared" si="20"/>
        <v>6.2502057096161297E-3</v>
      </c>
      <c r="F45" s="25">
        <f t="shared" si="3"/>
        <v>5.4903532443034723E-3</v>
      </c>
      <c r="G45" s="30">
        <f t="shared" si="4"/>
        <v>6.9142556100701451E-6</v>
      </c>
      <c r="H45" s="9">
        <f>'hours (3)'!$K45</f>
        <v>29</v>
      </c>
      <c r="I45" s="7">
        <f t="shared" si="5"/>
        <v>0</v>
      </c>
      <c r="J45" s="9">
        <f t="shared" si="6"/>
        <v>0.23848860638739061</v>
      </c>
      <c r="K45" s="18">
        <f t="shared" si="21"/>
        <v>5.9989615541339763E-3</v>
      </c>
      <c r="L45" s="19">
        <f t="shared" si="7"/>
        <v>6.4270823807821426E-3</v>
      </c>
      <c r="M45" s="19">
        <f t="shared" si="8"/>
        <v>4.5190947505155184E-2</v>
      </c>
      <c r="N45" s="19">
        <f t="shared" si="9"/>
        <v>2.7016980117416978E-2</v>
      </c>
      <c r="O45" s="19">
        <f t="shared" si="10"/>
        <v>-7.5786818862083605E-6</v>
      </c>
      <c r="P45" s="21">
        <f t="shared" si="11"/>
        <v>31.964640619442438</v>
      </c>
      <c r="Q45" s="9">
        <f t="shared" si="22"/>
        <v>1.1022289868773254</v>
      </c>
      <c r="R45" s="9">
        <f t="shared" si="12"/>
        <v>5.6537280284288913</v>
      </c>
      <c r="S45" s="6">
        <f t="shared" si="23"/>
        <v>2.532890059336744E-2</v>
      </c>
      <c r="T45" s="6">
        <f t="shared" si="13"/>
        <v>2.1765454549142565E-2</v>
      </c>
      <c r="U45" s="6">
        <f t="shared" si="14"/>
        <v>0.61817701127256164</v>
      </c>
      <c r="V45" s="6">
        <f t="shared" si="15"/>
        <v>-0.15906469462968739</v>
      </c>
      <c r="W45" s="6">
        <f t="shared" si="16"/>
        <v>-5.9040151442902616E-2</v>
      </c>
      <c r="X45" s="6">
        <f t="shared" si="17"/>
        <v>-0.2181048460725899</v>
      </c>
      <c r="Y45">
        <f t="shared" si="18"/>
        <v>0.56834997614928873</v>
      </c>
      <c r="AA45" s="43">
        <f t="shared" si="24"/>
        <v>29</v>
      </c>
      <c r="AB45" s="6">
        <f t="shared" si="25"/>
        <v>0.1686177836999882</v>
      </c>
      <c r="AC45" s="6">
        <f>VLOOKUP($C45,'hours (1)'!$A$19:$P$103,16)</f>
        <v>0.66627594416328395</v>
      </c>
      <c r="AD45" s="6">
        <f t="shared" si="26"/>
        <v>0.23345386058146048</v>
      </c>
    </row>
    <row r="46" spans="1:30" x14ac:dyDescent="0.25">
      <c r="A46" s="39">
        <f>'hours (1)'!$A46*'hours (1)'!$B46/'hours (1)'!$A$105</f>
        <v>3.8232323146654805E-2</v>
      </c>
      <c r="B46" s="9">
        <f>'hours (3)'!$E46</f>
        <v>33.194425019587612</v>
      </c>
      <c r="C46" s="26">
        <f t="shared" si="19"/>
        <v>35</v>
      </c>
      <c r="D46" s="25">
        <f t="shared" si="2"/>
        <v>1.1358566180177085</v>
      </c>
      <c r="E46" s="25">
        <f t="shared" si="20"/>
        <v>6.0673986129950114E-3</v>
      </c>
      <c r="F46" s="25">
        <f t="shared" si="3"/>
        <v>5.3292562181198582E-3</v>
      </c>
      <c r="G46" s="30">
        <f t="shared" si="4"/>
        <v>6.9975340235611879E-6</v>
      </c>
      <c r="H46" s="9">
        <f>'hours (3)'!$K46</f>
        <v>35.30106796777963</v>
      </c>
      <c r="I46" s="7">
        <f t="shared" si="5"/>
        <v>4.2</v>
      </c>
      <c r="J46" s="9">
        <f t="shared" si="6"/>
        <v>0.24612510720398892</v>
      </c>
      <c r="K46" s="18">
        <f t="shared" si="21"/>
        <v>6.1910507088354487E-3</v>
      </c>
      <c r="L46" s="19">
        <f t="shared" si="7"/>
        <v>8.0895093600310691E-3</v>
      </c>
      <c r="M46" s="19">
        <f t="shared" si="8"/>
        <v>4.5855082617603821E-2</v>
      </c>
      <c r="N46" s="19">
        <f t="shared" si="9"/>
        <v>2.7342384812930498E-2</v>
      </c>
      <c r="O46" s="19">
        <f t="shared" si="10"/>
        <v>-1.5116646829807512E-5</v>
      </c>
      <c r="P46" s="21">
        <f t="shared" si="11"/>
        <v>31.536655665822579</v>
      </c>
      <c r="Q46" s="9">
        <f t="shared" si="22"/>
        <v>0.8933626510848639</v>
      </c>
      <c r="R46" s="9">
        <f t="shared" si="12"/>
        <v>5.615750676964085</v>
      </c>
      <c r="S46" s="6">
        <f t="shared" si="23"/>
        <v>2.5500191061086617E-2</v>
      </c>
      <c r="T46" s="6">
        <f t="shared" si="13"/>
        <v>2.257280270624016E-2</v>
      </c>
      <c r="U46" s="6">
        <f t="shared" si="14"/>
        <v>0.58071338686190432</v>
      </c>
      <c r="V46" s="6">
        <f t="shared" si="15"/>
        <v>8.5651560369417214E-3</v>
      </c>
      <c r="W46" s="6">
        <f t="shared" si="16"/>
        <v>-0.24014977210455202</v>
      </c>
      <c r="X46" s="6">
        <f t="shared" si="17"/>
        <v>-0.23158461606761005</v>
      </c>
      <c r="Y46">
        <f t="shared" si="18"/>
        <v>0.62399312101331905</v>
      </c>
      <c r="AA46" s="43">
        <f t="shared" si="24"/>
        <v>35</v>
      </c>
      <c r="AB46" s="6">
        <f t="shared" si="25"/>
        <v>0.21096930568190939</v>
      </c>
      <c r="AC46" s="6">
        <f>VLOOKUP($C46,'hours (1)'!$A$19:$P$103,16)</f>
        <v>0.56215447999770085</v>
      </c>
      <c r="AD46" s="6">
        <f t="shared" si="26"/>
        <v>0.28458590743519108</v>
      </c>
    </row>
    <row r="47" spans="1:30" x14ac:dyDescent="0.25">
      <c r="A47" s="39">
        <f>'hours (1)'!$A47*'hours (1)'!$B47/'hours (1)'!$A$105</f>
        <v>1.0952227904653878E-2</v>
      </c>
      <c r="B47" s="9">
        <f>'hours (3)'!$E47</f>
        <v>34.194425019587612</v>
      </c>
      <c r="C47" s="26">
        <f t="shared" si="19"/>
        <v>36</v>
      </c>
      <c r="D47" s="25">
        <f t="shared" si="2"/>
        <v>1.1043050452949943</v>
      </c>
      <c r="E47" s="25">
        <f t="shared" si="20"/>
        <v>5.8949839381045336E-3</v>
      </c>
      <c r="F47" s="25">
        <f t="shared" si="3"/>
        <v>5.1773454986425793E-3</v>
      </c>
      <c r="G47" s="30">
        <f t="shared" si="4"/>
        <v>7.0760636153857546E-6</v>
      </c>
      <c r="H47" s="9">
        <f>'hours (3)'!$K47</f>
        <v>36.30106796777963</v>
      </c>
      <c r="I47" s="7">
        <f t="shared" si="5"/>
        <v>4.2</v>
      </c>
      <c r="J47" s="9">
        <f t="shared" si="6"/>
        <v>0.23913816712153832</v>
      </c>
      <c r="K47" s="18">
        <f t="shared" si="21"/>
        <v>6.01530065699618E-3</v>
      </c>
      <c r="L47" s="19">
        <f t="shared" si="7"/>
        <v>7.5862848926619847E-3</v>
      </c>
      <c r="M47" s="19">
        <f t="shared" si="8"/>
        <v>4.6124460838871111E-2</v>
      </c>
      <c r="N47" s="19">
        <f t="shared" si="9"/>
        <v>2.7649233813112552E-2</v>
      </c>
      <c r="O47" s="19">
        <f t="shared" si="10"/>
        <v>-1.2257454002517765E-5</v>
      </c>
      <c r="P47" s="21">
        <f t="shared" si="11"/>
        <v>31.686482450168093</v>
      </c>
      <c r="Q47" s="9">
        <f t="shared" si="22"/>
        <v>0.87288017196333212</v>
      </c>
      <c r="R47" s="9">
        <f t="shared" si="12"/>
        <v>5.6290747419241196</v>
      </c>
      <c r="S47" s="6">
        <f t="shared" si="23"/>
        <v>2.5439831904783237E-2</v>
      </c>
      <c r="T47" s="6">
        <f t="shared" si="13"/>
        <v>2.2593085484698721E-2</v>
      </c>
      <c r="U47" s="6">
        <f t="shared" si="14"/>
        <v>0.57790749155542853</v>
      </c>
      <c r="V47" s="6">
        <f t="shared" si="15"/>
        <v>8.3282229819076469E-3</v>
      </c>
      <c r="W47" s="6">
        <f t="shared" si="16"/>
        <v>-0.23517321146105022</v>
      </c>
      <c r="X47" s="6">
        <f t="shared" si="17"/>
        <v>-0.22684498847914258</v>
      </c>
      <c r="Y47">
        <f t="shared" si="18"/>
        <v>0.62854313878993784</v>
      </c>
      <c r="AA47" s="43">
        <f t="shared" si="24"/>
        <v>36</v>
      </c>
      <c r="AB47" s="6">
        <f t="shared" si="25"/>
        <v>0.22282337991931545</v>
      </c>
      <c r="AC47" s="6">
        <f>VLOOKUP($C47,'hours (1)'!$A$19:$P$103,16)</f>
        <v>0.72214478000759019</v>
      </c>
      <c r="AD47" s="6">
        <f t="shared" si="26"/>
        <v>0.30297077048205179</v>
      </c>
    </row>
    <row r="48" spans="1:30" x14ac:dyDescent="0.25">
      <c r="A48" s="39">
        <f>'hours (1)'!$A48*'hours (1)'!$B48/'hours (1)'!$A$105</f>
        <v>5.6166457956019758E-3</v>
      </c>
      <c r="B48" s="9">
        <f>'hours (3)'!$E48</f>
        <v>35.194425019587612</v>
      </c>
      <c r="C48" s="26">
        <f t="shared" si="19"/>
        <v>37</v>
      </c>
      <c r="D48" s="25">
        <f t="shared" si="2"/>
        <v>1.0744589629897241</v>
      </c>
      <c r="E48" s="25">
        <f t="shared" si="20"/>
        <v>5.732099762440367E-3</v>
      </c>
      <c r="F48" s="25">
        <f t="shared" si="3"/>
        <v>5.0338569564773858E-3</v>
      </c>
      <c r="G48" s="30">
        <f t="shared" si="4"/>
        <v>7.1502393989414353E-6</v>
      </c>
      <c r="H48" s="9">
        <f>'hours (3)'!$K48</f>
        <v>37.30106796777963</v>
      </c>
      <c r="I48" s="7">
        <f t="shared" si="5"/>
        <v>4.2</v>
      </c>
      <c r="J48" s="9">
        <f t="shared" si="6"/>
        <v>0.23253707259440604</v>
      </c>
      <c r="K48" s="18">
        <f t="shared" si="21"/>
        <v>5.849256195236247E-3</v>
      </c>
      <c r="L48" s="19">
        <f t="shared" si="7"/>
        <v>7.1107378938630589E-3</v>
      </c>
      <c r="M48" s="19">
        <f t="shared" si="8"/>
        <v>4.637886601492703E-2</v>
      </c>
      <c r="N48" s="19">
        <f t="shared" si="9"/>
        <v>2.7939070605752812E-2</v>
      </c>
      <c r="O48" s="19">
        <f t="shared" si="10"/>
        <v>-9.9341223392807043E-6</v>
      </c>
      <c r="P48" s="21">
        <f t="shared" si="11"/>
        <v>31.825747999535462</v>
      </c>
      <c r="Q48" s="9">
        <f t="shared" si="22"/>
        <v>0.85321278272853451</v>
      </c>
      <c r="R48" s="9">
        <f t="shared" si="12"/>
        <v>5.6414313786073356</v>
      </c>
      <c r="S48" s="6">
        <f t="shared" si="23"/>
        <v>2.538411009607321E-2</v>
      </c>
      <c r="T48" s="6">
        <f t="shared" si="13"/>
        <v>2.261368177021976E-2</v>
      </c>
      <c r="U48" s="6">
        <f t="shared" si="14"/>
        <v>0.57528436906263347</v>
      </c>
      <c r="V48" s="6">
        <f t="shared" si="15"/>
        <v>8.1040454396199904E-3</v>
      </c>
      <c r="W48" s="6">
        <f t="shared" si="16"/>
        <v>-0.23056355504068188</v>
      </c>
      <c r="X48" s="6">
        <f t="shared" si="17"/>
        <v>-0.22245950960106189</v>
      </c>
      <c r="Y48">
        <f t="shared" si="18"/>
        <v>0.63290223905403176</v>
      </c>
      <c r="AA48" s="43">
        <f t="shared" si="24"/>
        <v>37</v>
      </c>
      <c r="AB48" s="6">
        <f t="shared" si="25"/>
        <v>0.22876554799836116</v>
      </c>
      <c r="AC48" s="6">
        <f>VLOOKUP($C48,'hours (1)'!$A$19:$P$103,16)</f>
        <v>0.74376864496543005</v>
      </c>
      <c r="AD48" s="6">
        <f t="shared" si="26"/>
        <v>0.31246262947492082</v>
      </c>
    </row>
    <row r="49" spans="1:30" x14ac:dyDescent="0.25">
      <c r="A49" s="39">
        <f>'hours (1)'!$A49*'hours (1)'!$B49/'hours (1)'!$A$105</f>
        <v>1.1700095927242521E-2</v>
      </c>
      <c r="B49" s="9">
        <f>'hours (3)'!$E49</f>
        <v>36.194425019587612</v>
      </c>
      <c r="C49" s="26">
        <f t="shared" si="19"/>
        <v>38</v>
      </c>
      <c r="D49" s="25">
        <f t="shared" si="2"/>
        <v>1.0461837271215735</v>
      </c>
      <c r="E49" s="25">
        <f t="shared" si="20"/>
        <v>5.5779769357621632E-3</v>
      </c>
      <c r="F49" s="25">
        <f t="shared" si="3"/>
        <v>4.8981089404824176E-3</v>
      </c>
      <c r="G49" s="30">
        <f t="shared" si="4"/>
        <v>7.220413750848669E-6</v>
      </c>
      <c r="H49" s="9">
        <f>'hours (3)'!$K49</f>
        <v>38.30106796777963</v>
      </c>
      <c r="I49" s="7">
        <f t="shared" si="5"/>
        <v>4.2</v>
      </c>
      <c r="J49" s="9">
        <f t="shared" si="6"/>
        <v>0.22629071234439632</v>
      </c>
      <c r="K49" s="18">
        <f t="shared" si="21"/>
        <v>5.6921347479658834E-3</v>
      </c>
      <c r="L49" s="19">
        <f t="shared" si="7"/>
        <v>6.6606453916345787E-3</v>
      </c>
      <c r="M49" s="19">
        <f t="shared" si="8"/>
        <v>4.661951294203738E-2</v>
      </c>
      <c r="N49" s="19">
        <f t="shared" si="9"/>
        <v>2.8213272078355174E-2</v>
      </c>
      <c r="O49" s="19">
        <f t="shared" si="10"/>
        <v>-8.0429716997204581E-6</v>
      </c>
      <c r="P49" s="21">
        <f t="shared" si="11"/>
        <v>31.955527158121345</v>
      </c>
      <c r="Q49" s="9">
        <f t="shared" si="22"/>
        <v>0.83432470303448447</v>
      </c>
      <c r="R49" s="9">
        <f t="shared" si="12"/>
        <v>5.6529220017722999</v>
      </c>
      <c r="S49" s="6">
        <f t="shared" si="23"/>
        <v>2.5332512136044667E-2</v>
      </c>
      <c r="T49" s="6">
        <f t="shared" si="13"/>
        <v>2.2634416736473692E-2</v>
      </c>
      <c r="U49" s="6">
        <f t="shared" si="14"/>
        <v>0.57282730169700025</v>
      </c>
      <c r="V49" s="6">
        <f t="shared" si="15"/>
        <v>7.8916203476858456E-3</v>
      </c>
      <c r="W49" s="6">
        <f t="shared" si="16"/>
        <v>-0.22628161778015821</v>
      </c>
      <c r="X49" s="6">
        <f t="shared" si="17"/>
        <v>-0.21838999743247239</v>
      </c>
      <c r="Y49">
        <f t="shared" si="18"/>
        <v>0.63707983506907728</v>
      </c>
      <c r="AA49" s="43">
        <f t="shared" si="24"/>
        <v>38</v>
      </c>
      <c r="AB49" s="6">
        <f t="shared" si="25"/>
        <v>0.24086971945778435</v>
      </c>
      <c r="AC49" s="6">
        <f>VLOOKUP($C49,'hours (1)'!$A$19:$P$103,16)</f>
        <v>0.72079676182207131</v>
      </c>
      <c r="AD49" s="6">
        <f t="shared" si="26"/>
        <v>0.33120033346594163</v>
      </c>
    </row>
    <row r="50" spans="1:30" x14ac:dyDescent="0.25">
      <c r="A50" s="39">
        <f>'hours (1)'!$A50*'hours (1)'!$B50/'hours (1)'!$A$105</f>
        <v>1.5382824247279752E-3</v>
      </c>
      <c r="B50" s="9">
        <f>'hours (3)'!$E50</f>
        <v>37.194425019587612</v>
      </c>
      <c r="C50" s="26">
        <f t="shared" si="19"/>
        <v>39</v>
      </c>
      <c r="D50" s="25">
        <f t="shared" si="2"/>
        <v>1.0193585033492256</v>
      </c>
      <c r="E50" s="25">
        <f t="shared" si="20"/>
        <v>5.4319269225939684E-3</v>
      </c>
      <c r="F50" s="25">
        <f t="shared" si="3"/>
        <v>4.7694914400137024E-3</v>
      </c>
      <c r="G50" s="30">
        <f t="shared" si="4"/>
        <v>7.2869020134812139E-6</v>
      </c>
      <c r="H50" s="9">
        <f>'hours (3)'!$K50</f>
        <v>39.30106796777963</v>
      </c>
      <c r="I50" s="7">
        <f t="shared" si="5"/>
        <v>4.2</v>
      </c>
      <c r="J50" s="9">
        <f t="shared" si="6"/>
        <v>0.22037123310116091</v>
      </c>
      <c r="K50" s="18">
        <f t="shared" si="21"/>
        <v>5.5432356917863137E-3</v>
      </c>
      <c r="L50" s="19">
        <f t="shared" si="7"/>
        <v>6.2340163313781977E-3</v>
      </c>
      <c r="M50" s="19">
        <f t="shared" si="8"/>
        <v>4.6847488447915843E-2</v>
      </c>
      <c r="N50" s="19">
        <f t="shared" si="9"/>
        <v>2.8473070409641744E-2</v>
      </c>
      <c r="O50" s="19">
        <f t="shared" si="10"/>
        <v>-6.5017167384523455E-6</v>
      </c>
      <c r="P50" s="21">
        <f t="shared" si="11"/>
        <v>32.076754291111108</v>
      </c>
      <c r="Q50" s="9">
        <f t="shared" si="22"/>
        <v>0.81618021976931354</v>
      </c>
      <c r="R50" s="9">
        <f t="shared" si="12"/>
        <v>5.6636343712417654</v>
      </c>
      <c r="S50" s="6">
        <f t="shared" si="23"/>
        <v>2.5284597455858211E-2</v>
      </c>
      <c r="T50" s="6">
        <f t="shared" si="13"/>
        <v>2.2655154017648262E-2</v>
      </c>
      <c r="U50" s="6">
        <f t="shared" si="14"/>
        <v>0.57052147237934003</v>
      </c>
      <c r="V50" s="6">
        <f t="shared" si="15"/>
        <v>7.6900471290045451E-3</v>
      </c>
      <c r="W50" s="6">
        <f t="shared" si="16"/>
        <v>-0.22229360200208001</v>
      </c>
      <c r="X50" s="6">
        <f t="shared" si="17"/>
        <v>-0.21460355487307536</v>
      </c>
      <c r="Y50">
        <f t="shared" si="18"/>
        <v>0.64108511570185645</v>
      </c>
      <c r="AA50" s="43">
        <f t="shared" si="24"/>
        <v>39</v>
      </c>
      <c r="AB50" s="6">
        <f t="shared" si="25"/>
        <v>0.24242651896511408</v>
      </c>
      <c r="AC50" s="6">
        <f>VLOOKUP($C50,'hours (1)'!$A$19:$P$103,16)</f>
        <v>0.54418855453806381</v>
      </c>
      <c r="AD50" s="6">
        <f t="shared" si="26"/>
        <v>0.33301982721917778</v>
      </c>
    </row>
    <row r="51" spans="1:30" x14ac:dyDescent="0.25">
      <c r="A51" s="39">
        <f>'hours (1)'!$A51*'hours (1)'!$B51/'hours (1)'!$A$105</f>
        <v>0.52299315453736406</v>
      </c>
      <c r="B51" s="9">
        <f>'hours (3)'!$E51</f>
        <v>38.194425019587612</v>
      </c>
      <c r="C51" s="26">
        <f t="shared" si="19"/>
        <v>40</v>
      </c>
      <c r="D51" s="25">
        <f t="shared" si="2"/>
        <v>0.99387454076549486</v>
      </c>
      <c r="E51" s="25">
        <f t="shared" si="20"/>
        <v>5.2933315081355164E-3</v>
      </c>
      <c r="F51" s="25">
        <f t="shared" si="3"/>
        <v>4.6474569126197579E-3</v>
      </c>
      <c r="G51" s="30">
        <f t="shared" si="4"/>
        <v>7.3499872365499097E-6</v>
      </c>
      <c r="H51" s="9">
        <f>'hours (3)'!$K51</f>
        <v>40.30106796777963</v>
      </c>
      <c r="I51" s="7">
        <f t="shared" si="5"/>
        <v>4.2</v>
      </c>
      <c r="J51" s="9">
        <f t="shared" si="6"/>
        <v>0.21475362390530464</v>
      </c>
      <c r="K51" s="18">
        <f t="shared" si="21"/>
        <v>5.4019298990166968E-3</v>
      </c>
      <c r="L51" s="19">
        <f t="shared" si="7"/>
        <v>5.8290620922131914E-3</v>
      </c>
      <c r="M51" s="19">
        <f t="shared" si="8"/>
        <v>4.7063767811909081E-2</v>
      </c>
      <c r="N51" s="19">
        <f t="shared" si="9"/>
        <v>2.8719571596966594E-2</v>
      </c>
      <c r="O51" s="19">
        <f t="shared" si="10"/>
        <v>-5.2446961104207768E-6</v>
      </c>
      <c r="P51" s="21">
        <f t="shared" si="11"/>
        <v>32.190245403381198</v>
      </c>
      <c r="Q51" s="9">
        <f t="shared" si="22"/>
        <v>0.79874422755042207</v>
      </c>
      <c r="R51" s="9">
        <f t="shared" si="12"/>
        <v>5.6736448076506516</v>
      </c>
      <c r="S51" s="6">
        <f t="shared" si="23"/>
        <v>2.5239985947112579E-2</v>
      </c>
      <c r="T51" s="6">
        <f t="shared" si="13"/>
        <v>2.2675787515320626E-2</v>
      </c>
      <c r="U51" s="6">
        <f t="shared" si="14"/>
        <v>0.56835371523527312</v>
      </c>
      <c r="V51" s="6">
        <f t="shared" si="15"/>
        <v>7.498514928752315E-3</v>
      </c>
      <c r="W51" s="6">
        <f t="shared" si="16"/>
        <v>-0.21857020334519067</v>
      </c>
      <c r="X51" s="6">
        <f t="shared" si="17"/>
        <v>-0.21107168841643831</v>
      </c>
      <c r="Y51">
        <f t="shared" si="18"/>
        <v>0.64492695723838778</v>
      </c>
      <c r="AA51" s="43">
        <f t="shared" si="24"/>
        <v>40</v>
      </c>
      <c r="AB51" s="6">
        <f t="shared" si="25"/>
        <v>0.76040805474491791</v>
      </c>
      <c r="AC51" s="6">
        <f>VLOOKUP($C51,'hours (1)'!$A$19:$P$103,16)</f>
        <v>0.45564382461173775</v>
      </c>
      <c r="AD51" s="6">
        <f t="shared" si="26"/>
        <v>0.83990343601186401</v>
      </c>
    </row>
    <row r="52" spans="1:30" x14ac:dyDescent="0.25">
      <c r="A52" s="39">
        <f>'hours (1)'!$A52*'hours (1)'!$B52/'hours (1)'!$A$105</f>
        <v>7.016047166535285E-4</v>
      </c>
      <c r="B52" s="9">
        <f>'hours (3)'!$E52</f>
        <v>39.194425019587612</v>
      </c>
      <c r="C52" s="26">
        <f t="shared" si="19"/>
        <v>41</v>
      </c>
      <c r="D52" s="25">
        <f t="shared" si="2"/>
        <v>0.96963369830779989</v>
      </c>
      <c r="E52" s="25">
        <f t="shared" si="20"/>
        <v>5.1616340426071262E-3</v>
      </c>
      <c r="F52" s="25">
        <f t="shared" si="3"/>
        <v>4.5315124860063859E-3</v>
      </c>
      <c r="G52" s="30">
        <f t="shared" si="4"/>
        <v>7.4099242082633736E-6</v>
      </c>
      <c r="H52" s="9">
        <f>'hours (3)'!$K52</f>
        <v>41.30106796777963</v>
      </c>
      <c r="I52" s="7">
        <f t="shared" si="5"/>
        <v>4.2</v>
      </c>
      <c r="J52" s="9">
        <f t="shared" si="6"/>
        <v>0.20941536248953665</v>
      </c>
      <c r="K52" s="18">
        <f t="shared" si="21"/>
        <v>5.2676508427372095E-3</v>
      </c>
      <c r="L52" s="19">
        <f t="shared" si="7"/>
        <v>5.4441713908475881E-3</v>
      </c>
      <c r="M52" s="19">
        <f t="shared" si="8"/>
        <v>4.7269228719815988E-2</v>
      </c>
      <c r="N52" s="19">
        <f t="shared" si="9"/>
        <v>2.8953771207799957E-2</v>
      </c>
      <c r="O52" s="19">
        <f t="shared" si="10"/>
        <v>-4.2192504967897282E-6</v>
      </c>
      <c r="P52" s="21">
        <f t="shared" si="11"/>
        <v>32.296716228120822</v>
      </c>
      <c r="Q52" s="9">
        <f t="shared" si="22"/>
        <v>0.78198259312123819</v>
      </c>
      <c r="R52" s="9">
        <f t="shared" si="12"/>
        <v>5.6830199918811495</v>
      </c>
      <c r="S52" s="6">
        <f t="shared" si="23"/>
        <v>2.5198347959111935E-2</v>
      </c>
      <c r="T52" s="6">
        <f t="shared" si="13"/>
        <v>2.2696235050962917E-2</v>
      </c>
      <c r="U52" s="6">
        <f t="shared" si="14"/>
        <v>0.56631230173691249</v>
      </c>
      <c r="V52" s="6">
        <f t="shared" si="15"/>
        <v>7.3162917123569954E-3</v>
      </c>
      <c r="W52" s="6">
        <f t="shared" si="16"/>
        <v>-0.21508588870470885</v>
      </c>
      <c r="X52" s="6">
        <f t="shared" si="17"/>
        <v>-0.2077695969923517</v>
      </c>
      <c r="Y52">
        <f t="shared" si="18"/>
        <v>0.64861386911799557</v>
      </c>
      <c r="AA52" s="43">
        <f t="shared" si="24"/>
        <v>41</v>
      </c>
      <c r="AB52" s="6">
        <f t="shared" si="25"/>
        <v>0.7610883542072876</v>
      </c>
      <c r="AC52" s="6">
        <f>VLOOKUP($C52,'hours (1)'!$A$19:$P$103,16)</f>
        <v>0.33583847472936851</v>
      </c>
      <c r="AD52" s="6">
        <f t="shared" si="26"/>
        <v>0.84039411680271536</v>
      </c>
    </row>
    <row r="53" spans="1:30" x14ac:dyDescent="0.25">
      <c r="A53" s="39">
        <f>'hours (1)'!$A53*'hours (1)'!$B53/'hours (1)'!$A$105</f>
        <v>5.3536305067851701E-3</v>
      </c>
      <c r="B53" s="9">
        <f>'hours (3)'!$E53</f>
        <v>40.194425019587612</v>
      </c>
      <c r="C53" s="26">
        <f t="shared" si="19"/>
        <v>42</v>
      </c>
      <c r="D53" s="25">
        <f t="shared" si="2"/>
        <v>0.94654718168142371</v>
      </c>
      <c r="E53" s="25">
        <f t="shared" si="20"/>
        <v>5.0363319622605497E-3</v>
      </c>
      <c r="F53" s="25">
        <f t="shared" si="3"/>
        <v>4.4212132998645891E-3</v>
      </c>
      <c r="G53" s="30">
        <f t="shared" si="4"/>
        <v>7.4669428972413592E-6</v>
      </c>
      <c r="H53" s="9">
        <f>'hours (3)'!$K53</f>
        <v>42.30106796777963</v>
      </c>
      <c r="I53" s="7">
        <f t="shared" si="5"/>
        <v>4.2</v>
      </c>
      <c r="J53" s="9">
        <f t="shared" si="6"/>
        <v>0.20433611318273584</v>
      </c>
      <c r="K53" s="18">
        <f t="shared" si="21"/>
        <v>5.1398869978436504E-3</v>
      </c>
      <c r="L53" s="19">
        <f t="shared" si="7"/>
        <v>5.0778888295035657E-3</v>
      </c>
      <c r="M53" s="19">
        <f t="shared" si="8"/>
        <v>4.7464663174695471E-2</v>
      </c>
      <c r="N53" s="19">
        <f t="shared" si="9"/>
        <v>2.9176567828768936E-2</v>
      </c>
      <c r="O53" s="19">
        <f t="shared" si="10"/>
        <v>-3.3829522578798787E-6</v>
      </c>
      <c r="P53" s="21">
        <f t="shared" si="11"/>
        <v>32.396797111895161</v>
      </c>
      <c r="Q53" s="9">
        <f t="shared" si="22"/>
        <v>0.76586239232946862</v>
      </c>
      <c r="R53" s="9">
        <f t="shared" si="12"/>
        <v>5.6918184363079574</v>
      </c>
      <c r="S53" s="6">
        <f t="shared" si="23"/>
        <v>2.5159396213435836E-2</v>
      </c>
      <c r="T53" s="6">
        <f t="shared" si="13"/>
        <v>2.2716433417290013E-2</v>
      </c>
      <c r="U53" s="6">
        <f t="shared" si="14"/>
        <v>0.56438675728356891</v>
      </c>
      <c r="V53" s="6">
        <f t="shared" si="15"/>
        <v>7.1427149153914784E-3</v>
      </c>
      <c r="W53" s="6">
        <f t="shared" si="16"/>
        <v>-0.21181830886336903</v>
      </c>
      <c r="X53" s="6">
        <f t="shared" si="17"/>
        <v>-0.20467559394797735</v>
      </c>
      <c r="Y53">
        <f t="shared" si="18"/>
        <v>0.65215396366805756</v>
      </c>
      <c r="AA53" s="43">
        <f t="shared" si="24"/>
        <v>42</v>
      </c>
      <c r="AB53" s="6">
        <f t="shared" si="25"/>
        <v>0.76617240264999853</v>
      </c>
      <c r="AC53" s="6">
        <f>VLOOKUP($C53,'hours (1)'!$A$19:$P$103,16)</f>
        <v>0.4412273518835641</v>
      </c>
      <c r="AD53" s="6">
        <f t="shared" si="26"/>
        <v>0.84521182605360179</v>
      </c>
    </row>
    <row r="54" spans="1:30" x14ac:dyDescent="0.25">
      <c r="A54" s="39">
        <f>'hours (1)'!$A54*'hours (1)'!$B54/'hours (1)'!$A$105</f>
        <v>3.1454107671163561E-3</v>
      </c>
      <c r="B54" s="9">
        <f>'hours (3)'!$E54</f>
        <v>41.194425019587612</v>
      </c>
      <c r="C54" s="26">
        <f t="shared" si="19"/>
        <v>43</v>
      </c>
      <c r="D54" s="25">
        <f t="shared" si="2"/>
        <v>0.92453445652604171</v>
      </c>
      <c r="E54" s="25">
        <f t="shared" si="20"/>
        <v>4.9169703749927605E-3</v>
      </c>
      <c r="F54" s="25">
        <f t="shared" si="3"/>
        <v>4.3161567977687996E-3</v>
      </c>
      <c r="G54" s="30">
        <f t="shared" si="4"/>
        <v>7.5212514032933829E-6</v>
      </c>
      <c r="H54" s="9">
        <f>'hours (3)'!$K54</f>
        <v>43.30106796777963</v>
      </c>
      <c r="I54" s="7">
        <f t="shared" si="5"/>
        <v>4.2</v>
      </c>
      <c r="J54" s="9">
        <f t="shared" si="6"/>
        <v>0.19949746778466276</v>
      </c>
      <c r="K54" s="18">
        <f t="shared" si="21"/>
        <v>5.0181753229891386E-3</v>
      </c>
      <c r="L54" s="19">
        <f t="shared" si="7"/>
        <v>4.728896485020187E-3</v>
      </c>
      <c r="M54" s="19">
        <f t="shared" si="8"/>
        <v>4.7650787704668546E-2</v>
      </c>
      <c r="N54" s="19">
        <f t="shared" si="9"/>
        <v>2.938877459562279E-2</v>
      </c>
      <c r="O54" s="19">
        <f t="shared" si="10"/>
        <v>-2.7014715992673688E-6</v>
      </c>
      <c r="P54" s="21">
        <f t="shared" si="11"/>
        <v>32.491045335692931</v>
      </c>
      <c r="Q54" s="9">
        <f t="shared" si="22"/>
        <v>0.75035205505484415</v>
      </c>
      <c r="R54" s="9">
        <f t="shared" si="12"/>
        <v>5.7000916953758676</v>
      </c>
      <c r="S54" s="6">
        <f t="shared" si="23"/>
        <v>2.5122879221431159E-2</v>
      </c>
      <c r="T54" s="6">
        <f t="shared" si="13"/>
        <v>2.2736334497882614E-2</v>
      </c>
      <c r="U54" s="6">
        <f t="shared" si="14"/>
        <v>0.56256770374258447</v>
      </c>
      <c r="V54" s="6">
        <f t="shared" si="15"/>
        <v>6.9771833936222794E-3</v>
      </c>
      <c r="W54" s="6">
        <f t="shared" si="16"/>
        <v>-0.20874781744399426</v>
      </c>
      <c r="X54" s="6">
        <f t="shared" si="17"/>
        <v>-0.20177063405037196</v>
      </c>
      <c r="Y54">
        <f t="shared" si="18"/>
        <v>0.65555494271996928</v>
      </c>
      <c r="AA54" s="43">
        <f t="shared" si="24"/>
        <v>43</v>
      </c>
      <c r="AB54" s="6">
        <f t="shared" si="25"/>
        <v>0.76909893269665397</v>
      </c>
      <c r="AC54" s="6">
        <f>VLOOKUP($C54,'hours (1)'!$A$19:$P$103,16)</f>
        <v>0.44351573965069491</v>
      </c>
      <c r="AD54" s="6">
        <f t="shared" si="26"/>
        <v>0.8479994263641355</v>
      </c>
    </row>
    <row r="55" spans="1:30" x14ac:dyDescent="0.25">
      <c r="A55" s="39">
        <f>'hours (1)'!$A55*'hours (1)'!$B55/'hours (1)'!$A$105</f>
        <v>3.4277420472443752E-3</v>
      </c>
      <c r="B55" s="9">
        <f>'hours (3)'!$E55</f>
        <v>42.194425019587612</v>
      </c>
      <c r="C55" s="26">
        <f t="shared" si="19"/>
        <v>44</v>
      </c>
      <c r="D55" s="25">
        <f t="shared" si="2"/>
        <v>0.90352230978681358</v>
      </c>
      <c r="E55" s="25">
        <f t="shared" si="20"/>
        <v>4.8031365378307595E-3</v>
      </c>
      <c r="F55" s="25">
        <f t="shared" si="3"/>
        <v>4.2159778146346151E-3</v>
      </c>
      <c r="G55" s="30">
        <f t="shared" si="4"/>
        <v>7.5730384969362654E-6</v>
      </c>
      <c r="H55" s="9">
        <f>'hours (3)'!$K55</f>
        <v>44.30106796777963</v>
      </c>
      <c r="I55" s="7">
        <f t="shared" si="5"/>
        <v>4.2</v>
      </c>
      <c r="J55" s="9">
        <f t="shared" si="6"/>
        <v>0.19488272244416727</v>
      </c>
      <c r="K55" s="18">
        <f t="shared" si="21"/>
        <v>4.9020956481606349E-3</v>
      </c>
      <c r="L55" s="19">
        <f t="shared" si="7"/>
        <v>4.3959980476384747E-3</v>
      </c>
      <c r="M55" s="19">
        <f t="shared" si="8"/>
        <v>4.7828252145209457E-2</v>
      </c>
      <c r="N55" s="19">
        <f t="shared" si="9"/>
        <v>2.9591129116223802E-2</v>
      </c>
      <c r="O55" s="19">
        <f t="shared" si="10"/>
        <v>-2.1469221585801446E-6</v>
      </c>
      <c r="P55" s="21">
        <f t="shared" si="11"/>
        <v>32.579955370462756</v>
      </c>
      <c r="Q55" s="9">
        <f t="shared" si="22"/>
        <v>0.73542144388388797</v>
      </c>
      <c r="R55" s="9">
        <f t="shared" si="12"/>
        <v>5.7078853676701282</v>
      </c>
      <c r="S55" s="6">
        <f t="shared" si="23"/>
        <v>2.5088575889263848E-2</v>
      </c>
      <c r="T55" s="6">
        <f t="shared" si="13"/>
        <v>2.2755902208401776E-2</v>
      </c>
      <c r="U55" s="6">
        <f t="shared" si="14"/>
        <v>0.56084672408258784</v>
      </c>
      <c r="V55" s="6">
        <f t="shared" si="15"/>
        <v>6.8191504670671111E-3</v>
      </c>
      <c r="W55" s="6">
        <f t="shared" si="16"/>
        <v>-0.20585707442740067</v>
      </c>
      <c r="X55" s="6">
        <f t="shared" si="17"/>
        <v>-0.19903792396033348</v>
      </c>
      <c r="Y55">
        <f t="shared" si="18"/>
        <v>0.65882409598155578</v>
      </c>
      <c r="AA55" s="43">
        <f t="shared" si="24"/>
        <v>44</v>
      </c>
      <c r="AB55" s="6">
        <f t="shared" si="25"/>
        <v>0.77222468790145005</v>
      </c>
      <c r="AC55" s="6">
        <f>VLOOKUP($C55,'hours (1)'!$A$19:$P$103,16)</f>
        <v>0.33487011502192815</v>
      </c>
      <c r="AD55" s="6">
        <f t="shared" si="26"/>
        <v>0.85024744462297219</v>
      </c>
    </row>
    <row r="56" spans="1:30" x14ac:dyDescent="0.25">
      <c r="A56" s="39">
        <f>'hours (1)'!$A56*'hours (1)'!$B56/'hours (1)'!$A$105</f>
        <v>5.105026209392189E-2</v>
      </c>
      <c r="B56" s="9">
        <f>'hours (3)'!$E56</f>
        <v>43.194425019587612</v>
      </c>
      <c r="C56" s="26">
        <f t="shared" si="19"/>
        <v>45</v>
      </c>
      <c r="D56" s="25">
        <f t="shared" si="2"/>
        <v>0.88344403623599543</v>
      </c>
      <c r="E56" s="25">
        <f t="shared" si="20"/>
        <v>4.6944550848645687E-3</v>
      </c>
      <c r="F56" s="25">
        <f t="shared" si="3"/>
        <v>4.1203443332950051E-3</v>
      </c>
      <c r="G56" s="30">
        <f t="shared" si="4"/>
        <v>7.6224758130137868E-6</v>
      </c>
      <c r="H56" s="9">
        <f>'hours (3)'!$K56</f>
        <v>45.30106796777963</v>
      </c>
      <c r="I56" s="7">
        <f t="shared" si="5"/>
        <v>4.2</v>
      </c>
      <c r="J56" s="9">
        <f t="shared" si="6"/>
        <v>0.19047668483575583</v>
      </c>
      <c r="K56" s="18">
        <f t="shared" si="21"/>
        <v>4.7912658243828305E-3</v>
      </c>
      <c r="L56" s="19">
        <f t="shared" si="7"/>
        <v>4.0781051067241697E-3</v>
      </c>
      <c r="M56" s="19">
        <f t="shared" si="8"/>
        <v>4.7997647222915558E-2</v>
      </c>
      <c r="N56" s="19">
        <f t="shared" si="9"/>
        <v>2.9784302041965739E-2</v>
      </c>
      <c r="O56" s="19">
        <f t="shared" si="10"/>
        <v>-1.6965703358712281E-6</v>
      </c>
      <c r="P56" s="21">
        <f t="shared" si="11"/>
        <v>32.663967458436019</v>
      </c>
      <c r="Q56" s="9">
        <f t="shared" si="22"/>
        <v>0.72104188540694569</v>
      </c>
      <c r="R56" s="9">
        <f t="shared" si="12"/>
        <v>5.7152399300848273</v>
      </c>
      <c r="S56" s="6">
        <f t="shared" si="23"/>
        <v>2.5056291068411056E-2</v>
      </c>
      <c r="T56" s="6">
        <f t="shared" si="13"/>
        <v>2.2775110073825631E-2</v>
      </c>
      <c r="U56" s="6">
        <f t="shared" si="14"/>
        <v>0.55921624579232942</v>
      </c>
      <c r="V56" s="6">
        <f t="shared" si="15"/>
        <v>6.6681178884459864E-3</v>
      </c>
      <c r="W56" s="6">
        <f t="shared" si="16"/>
        <v>-0.20313071741200922</v>
      </c>
      <c r="X56" s="6">
        <f t="shared" si="17"/>
        <v>-0.1964625995235631</v>
      </c>
      <c r="Y56">
        <f t="shared" si="18"/>
        <v>0.66196830747109603</v>
      </c>
      <c r="AA56" s="43">
        <f t="shared" si="24"/>
        <v>45</v>
      </c>
      <c r="AB56" s="6">
        <f t="shared" si="25"/>
        <v>0.81786714455034959</v>
      </c>
      <c r="AC56" s="6">
        <f>VLOOKUP($C56,'hours (1)'!$A$19:$P$103,16)</f>
        <v>0.36391779712251804</v>
      </c>
      <c r="AD56" s="6">
        <f t="shared" si="26"/>
        <v>0.88592053931976911</v>
      </c>
    </row>
    <row r="57" spans="1:30" x14ac:dyDescent="0.25">
      <c r="A57" s="39">
        <f>'hours (1)'!$A57*'hours (1)'!$B57/'hours (1)'!$A$105</f>
        <v>1.7471562507340025E-3</v>
      </c>
      <c r="B57" s="9">
        <f>'hours (3)'!$E57</f>
        <v>44.194425019587612</v>
      </c>
      <c r="C57" s="26">
        <f t="shared" si="19"/>
        <v>46</v>
      </c>
      <c r="D57" s="25">
        <f t="shared" si="2"/>
        <v>0.86423873110043037</v>
      </c>
      <c r="E57" s="25">
        <f t="shared" si="20"/>
        <v>4.5905838892707392E-3</v>
      </c>
      <c r="F57" s="25">
        <f t="shared" si="3"/>
        <v>4.0289538062135578E-3</v>
      </c>
      <c r="G57" s="30">
        <f t="shared" si="4"/>
        <v>7.6697197521711634E-6</v>
      </c>
      <c r="H57" s="9">
        <f>'hours (3)'!$K57</f>
        <v>46.30106796777963</v>
      </c>
      <c r="I57" s="7">
        <f t="shared" si="5"/>
        <v>4.2</v>
      </c>
      <c r="J57" s="9">
        <f t="shared" si="6"/>
        <v>0.18626550693987853</v>
      </c>
      <c r="K57" s="18">
        <f t="shared" si="21"/>
        <v>4.6853375174600621E-3</v>
      </c>
      <c r="L57" s="19">
        <f t="shared" si="7"/>
        <v>3.7742252517985603E-3</v>
      </c>
      <c r="M57" s="19">
        <f t="shared" si="8"/>
        <v>4.8159511127352478E-2</v>
      </c>
      <c r="N57" s="19">
        <f t="shared" si="9"/>
        <v>2.9968904497655158E-2</v>
      </c>
      <c r="O57" s="19">
        <f t="shared" si="10"/>
        <v>-1.3318225069169909E-6</v>
      </c>
      <c r="P57" s="21">
        <f t="shared" si="11"/>
        <v>32.74347482943903</v>
      </c>
      <c r="Q57" s="9">
        <f t="shared" si="22"/>
        <v>0.70718616797834621</v>
      </c>
      <c r="R57" s="9">
        <f t="shared" si="12"/>
        <v>5.7221914359307338</v>
      </c>
      <c r="S57" s="6">
        <f t="shared" si="23"/>
        <v>2.5025851864167541E-2</v>
      </c>
      <c r="T57" s="6">
        <f t="shared" si="13"/>
        <v>2.2793939301061342E-2</v>
      </c>
      <c r="U57" s="6">
        <f t="shared" si="14"/>
        <v>0.55766944027526932</v>
      </c>
      <c r="V57" s="6">
        <f t="shared" si="15"/>
        <v>6.5236305958105562E-3</v>
      </c>
      <c r="W57" s="6">
        <f t="shared" si="16"/>
        <v>-0.20055508750372264</v>
      </c>
      <c r="X57" s="6">
        <f t="shared" si="17"/>
        <v>-0.19403145690791204</v>
      </c>
      <c r="Y57">
        <f t="shared" si="18"/>
        <v>0.66499406734823285</v>
      </c>
      <c r="AA57" s="43">
        <f t="shared" si="24"/>
        <v>46</v>
      </c>
      <c r="AB57" s="6">
        <f t="shared" si="25"/>
        <v>0.81939920550988787</v>
      </c>
      <c r="AC57" s="6">
        <f>VLOOKUP($C57,'hours (1)'!$A$19:$P$103,16)</f>
        <v>0.43607191944070439</v>
      </c>
      <c r="AD57" s="6">
        <f t="shared" si="26"/>
        <v>0.88735537658445174</v>
      </c>
    </row>
    <row r="58" spans="1:30" x14ac:dyDescent="0.25">
      <c r="A58" s="39">
        <f>'hours (1)'!$A58*'hours (1)'!$B58/'hours (1)'!$A$105</f>
        <v>1.3322371754345547E-3</v>
      </c>
      <c r="B58" s="9">
        <f>'hours (3)'!$E58</f>
        <v>45.194425019587612</v>
      </c>
      <c r="C58" s="26">
        <f t="shared" si="19"/>
        <v>47</v>
      </c>
      <c r="D58" s="25">
        <f t="shared" si="2"/>
        <v>0.84585067299191052</v>
      </c>
      <c r="E58" s="25">
        <f t="shared" si="20"/>
        <v>4.4912104632436325E-3</v>
      </c>
      <c r="F58" s="25">
        <f t="shared" si="3"/>
        <v>3.9415299564217101E-3</v>
      </c>
      <c r="G58" s="30">
        <f t="shared" si="4"/>
        <v>7.7149131345967712E-6</v>
      </c>
      <c r="H58" s="9">
        <f>'hours (3)'!$K58</f>
        <v>47.30106796777963</v>
      </c>
      <c r="I58" s="7">
        <f t="shared" si="5"/>
        <v>4.2</v>
      </c>
      <c r="J58" s="9">
        <f t="shared" si="6"/>
        <v>0.18223653954579552</v>
      </c>
      <c r="K58" s="18">
        <f t="shared" si="21"/>
        <v>4.583992548129732E-3</v>
      </c>
      <c r="L58" s="19">
        <f t="shared" si="7"/>
        <v>3.4834517145431038E-3</v>
      </c>
      <c r="M58" s="19">
        <f t="shared" si="8"/>
        <v>4.831433522509046E-2</v>
      </c>
      <c r="N58" s="19">
        <f t="shared" si="9"/>
        <v>3.0145494543393877E-2</v>
      </c>
      <c r="O58" s="19">
        <f t="shared" si="10"/>
        <v>-1.0374259143824949E-6</v>
      </c>
      <c r="P58" s="21">
        <f t="shared" si="11"/>
        <v>32.818829798084309</v>
      </c>
      <c r="Q58" s="9">
        <f t="shared" si="22"/>
        <v>0.6938285161011527</v>
      </c>
      <c r="R58" s="9">
        <f t="shared" si="12"/>
        <v>5.7287721021248794</v>
      </c>
      <c r="S58" s="6">
        <f t="shared" si="23"/>
        <v>2.4997104555947485E-2</v>
      </c>
      <c r="T58" s="6">
        <f t="shared" si="13"/>
        <v>2.2812377239580885E-2</v>
      </c>
      <c r="U58" s="6">
        <f t="shared" si="14"/>
        <v>0.55620013584125194</v>
      </c>
      <c r="V58" s="6">
        <f t="shared" si="15"/>
        <v>6.3852721329280514E-3</v>
      </c>
      <c r="W58" s="6">
        <f t="shared" si="16"/>
        <v>-0.1981179995420625</v>
      </c>
      <c r="X58" s="6">
        <f t="shared" si="17"/>
        <v>-0.19173272740913427</v>
      </c>
      <c r="Y58">
        <f t="shared" si="18"/>
        <v>0.66790748722222748</v>
      </c>
      <c r="AA58" s="43">
        <f t="shared" si="24"/>
        <v>47</v>
      </c>
      <c r="AB58" s="6">
        <f t="shared" si="25"/>
        <v>0.82054536283793744</v>
      </c>
      <c r="AC58" s="6">
        <f>VLOOKUP($C58,'hours (1)'!$A$19:$P$103,16)</f>
        <v>0.41751106861548043</v>
      </c>
      <c r="AD58" s="6">
        <f t="shared" si="26"/>
        <v>0.88838311054820029</v>
      </c>
    </row>
    <row r="59" spans="1:30" x14ac:dyDescent="0.25">
      <c r="A59" s="39">
        <f>'hours (1)'!$A59*'hours (1)'!$B59/'hours (1)'!$A$105</f>
        <v>9.8217405278856577E-3</v>
      </c>
      <c r="B59" s="9">
        <f>'hours (3)'!$E59</f>
        <v>46.194425019587612</v>
      </c>
      <c r="C59" s="26">
        <f t="shared" si="19"/>
        <v>48</v>
      </c>
      <c r="D59" s="25">
        <f t="shared" si="2"/>
        <v>0.82822878397124577</v>
      </c>
      <c r="E59" s="25">
        <f t="shared" si="20"/>
        <v>4.3960488159744526E-3</v>
      </c>
      <c r="F59" s="25">
        <f t="shared" si="3"/>
        <v>3.8578199863779868E-3</v>
      </c>
      <c r="G59" s="30">
        <f t="shared" si="4"/>
        <v>7.7581866428903292E-6</v>
      </c>
      <c r="H59" s="9">
        <f>'hours (3)'!$K59</f>
        <v>48.30106796777963</v>
      </c>
      <c r="I59" s="7">
        <f t="shared" si="5"/>
        <v>4.2</v>
      </c>
      <c r="J59" s="9">
        <f t="shared" si="6"/>
        <v>0.17837820525406389</v>
      </c>
      <c r="K59" s="18">
        <f t="shared" si="21"/>
        <v>4.4869396975566632E-3</v>
      </c>
      <c r="L59" s="19">
        <f t="shared" si="7"/>
        <v>3.2049543238249073E-3</v>
      </c>
      <c r="M59" s="19">
        <f t="shared" si="8"/>
        <v>4.8462569043789851E-2</v>
      </c>
      <c r="N59" s="19">
        <f t="shared" si="9"/>
        <v>3.0314582812487539E-2</v>
      </c>
      <c r="O59" s="19">
        <f t="shared" si="10"/>
        <v>-8.0083487975779466E-7</v>
      </c>
      <c r="P59" s="21">
        <f t="shared" si="11"/>
        <v>32.890348938574164</v>
      </c>
      <c r="Q59" s="9">
        <f t="shared" si="22"/>
        <v>0.68094454889723033</v>
      </c>
      <c r="R59" s="9">
        <f t="shared" si="12"/>
        <v>5.7350108054452837</v>
      </c>
      <c r="S59" s="6">
        <f t="shared" si="23"/>
        <v>2.4969912014471258E-2</v>
      </c>
      <c r="T59" s="6">
        <f t="shared" si="13"/>
        <v>2.2830416147600223E-2</v>
      </c>
      <c r="U59" s="6">
        <f t="shared" si="14"/>
        <v>0.5548027422855627</v>
      </c>
      <c r="V59" s="6">
        <f t="shared" si="15"/>
        <v>6.2526606403424632E-3</v>
      </c>
      <c r="W59" s="6">
        <f t="shared" si="16"/>
        <v>-0.19580854852395554</v>
      </c>
      <c r="X59" s="6">
        <f t="shared" si="17"/>
        <v>-0.18955588788361308</v>
      </c>
      <c r="Y59">
        <f t="shared" si="18"/>
        <v>0.67071431755905364</v>
      </c>
      <c r="AA59" s="43">
        <f t="shared" si="24"/>
        <v>48</v>
      </c>
      <c r="AB59" s="6">
        <f t="shared" si="25"/>
        <v>0.82883834528710931</v>
      </c>
      <c r="AC59" s="6">
        <f>VLOOKUP($C59,'hours (1)'!$A$19:$P$103,16)</f>
        <v>0.30584328509077524</v>
      </c>
      <c r="AD59" s="6">
        <f t="shared" si="26"/>
        <v>0.89383037144232214</v>
      </c>
    </row>
    <row r="60" spans="1:30" x14ac:dyDescent="0.25">
      <c r="A60" s="39">
        <f>'hours (1)'!$A60*'hours (1)'!$B60/'hours (1)'!$A$105</f>
        <v>7.0432109545263272E-4</v>
      </c>
      <c r="B60" s="9">
        <f>'hours (3)'!$E60</f>
        <v>47.194425019587612</v>
      </c>
      <c r="C60" s="26">
        <f t="shared" si="19"/>
        <v>49</v>
      </c>
      <c r="D60" s="25">
        <f t="shared" si="2"/>
        <v>0.81132615572693456</v>
      </c>
      <c r="E60" s="25">
        <f t="shared" si="20"/>
        <v>4.3048367030886396E-3</v>
      </c>
      <c r="F60" s="25">
        <f t="shared" si="3"/>
        <v>3.7775921353206737E-3</v>
      </c>
      <c r="G60" s="30">
        <f t="shared" si="4"/>
        <v>7.7996600847789058E-6</v>
      </c>
      <c r="H60" s="9">
        <f>'hours (3)'!$K60</f>
        <v>49.30106796777963</v>
      </c>
      <c r="I60" s="7">
        <f t="shared" si="5"/>
        <v>4.2</v>
      </c>
      <c r="J60" s="9">
        <f t="shared" si="6"/>
        <v>0.17467988729098016</v>
      </c>
      <c r="K60" s="18">
        <f t="shared" si="21"/>
        <v>4.3939119105626621E-3</v>
      </c>
      <c r="L60" s="19">
        <f t="shared" si="7"/>
        <v>2.9379715835448766E-3</v>
      </c>
      <c r="M60" s="19">
        <f t="shared" si="8"/>
        <v>4.8604624632867494E-2</v>
      </c>
      <c r="N60" s="19">
        <f t="shared" si="9"/>
        <v>3.047663744542194E-2</v>
      </c>
      <c r="O60" s="19">
        <f t="shared" si="10"/>
        <v>-6.1170567128288056E-7</v>
      </c>
      <c r="P60" s="21">
        <f t="shared" si="11"/>
        <v>32.958317495429668</v>
      </c>
      <c r="Q60" s="9">
        <f t="shared" si="22"/>
        <v>0.6685112281334219</v>
      </c>
      <c r="R60" s="9">
        <f t="shared" si="12"/>
        <v>5.7409335038327756</v>
      </c>
      <c r="S60" s="6">
        <f t="shared" si="23"/>
        <v>2.4944151524905374E-2</v>
      </c>
      <c r="T60" s="6">
        <f t="shared" si="13"/>
        <v>2.2848052200037633E-2</v>
      </c>
      <c r="U60" s="6">
        <f t="shared" si="14"/>
        <v>0.55347218535877885</v>
      </c>
      <c r="V60" s="6">
        <f t="shared" si="15"/>
        <v>6.1254453358333431E-3</v>
      </c>
      <c r="W60" s="6">
        <f t="shared" si="16"/>
        <v>-0.19361694574815055</v>
      </c>
      <c r="X60" s="6">
        <f t="shared" si="17"/>
        <v>-0.1874915004123173</v>
      </c>
      <c r="Y60">
        <f t="shared" si="18"/>
        <v>0.67341996620261291</v>
      </c>
      <c r="AA60" s="43">
        <f t="shared" si="24"/>
        <v>49</v>
      </c>
      <c r="AB60" s="6">
        <f t="shared" si="25"/>
        <v>0.82942218004182888</v>
      </c>
      <c r="AC60" s="6">
        <f>VLOOKUP($C60,'hours (1)'!$A$19:$P$103,16)</f>
        <v>0.44004271579192589</v>
      </c>
      <c r="AD60" s="6">
        <f t="shared" si="26"/>
        <v>0.89438213531425814</v>
      </c>
    </row>
    <row r="61" spans="1:30" x14ac:dyDescent="0.25">
      <c r="A61" s="39">
        <f>'hours (1)'!$A61*'hours (1)'!$B61/'hours (1)'!$A$105</f>
        <v>9.3259725650200853E-2</v>
      </c>
      <c r="B61" s="9">
        <f>'hours (3)'!$E61</f>
        <v>48.194425019587612</v>
      </c>
      <c r="C61" s="26">
        <f t="shared" si="19"/>
        <v>50</v>
      </c>
      <c r="D61" s="25">
        <f t="shared" si="2"/>
        <v>0.79509963261239591</v>
      </c>
      <c r="E61" s="25">
        <f t="shared" si="20"/>
        <v>4.2173332117916356E-3</v>
      </c>
      <c r="F61" s="25">
        <f t="shared" si="3"/>
        <v>3.7006335353790294E-3</v>
      </c>
      <c r="G61" s="30">
        <f t="shared" si="4"/>
        <v>7.839443501390998E-6</v>
      </c>
      <c r="H61" s="9">
        <f>'hours (3)'!$K61</f>
        <v>50.30106796777963</v>
      </c>
      <c r="I61" s="7">
        <f t="shared" si="5"/>
        <v>4.2</v>
      </c>
      <c r="J61" s="9">
        <f t="shared" si="6"/>
        <v>0.1711318318844979</v>
      </c>
      <c r="K61" s="18">
        <f t="shared" si="21"/>
        <v>4.3046638399825091E-3</v>
      </c>
      <c r="L61" s="19">
        <f t="shared" si="7"/>
        <v>2.6818037139574175E-3</v>
      </c>
      <c r="M61" s="19">
        <f t="shared" si="8"/>
        <v>4.8740880389868416E-2</v>
      </c>
      <c r="N61" s="19">
        <f t="shared" si="9"/>
        <v>3.063208842036802E-2</v>
      </c>
      <c r="O61" s="19">
        <f t="shared" si="10"/>
        <v>-4.6149204895040707E-7</v>
      </c>
      <c r="P61" s="21">
        <f t="shared" si="11"/>
        <v>33.022993158248688</v>
      </c>
      <c r="Q61" s="9">
        <f t="shared" si="22"/>
        <v>0.65650679980396398</v>
      </c>
      <c r="R61" s="9">
        <f t="shared" si="12"/>
        <v>5.746563595597693</v>
      </c>
      <c r="S61" s="6">
        <f t="shared" si="23"/>
        <v>2.4919712943525921E-2</v>
      </c>
      <c r="T61" s="6">
        <f t="shared" si="13"/>
        <v>2.2865284688668275E-2</v>
      </c>
      <c r="U61" s="6">
        <f t="shared" si="14"/>
        <v>0.55220384969496406</v>
      </c>
      <c r="V61" s="6">
        <f t="shared" si="15"/>
        <v>6.0033034159623216E-3</v>
      </c>
      <c r="W61" s="6">
        <f t="shared" si="16"/>
        <v>-0.19153437949320423</v>
      </c>
      <c r="X61" s="6">
        <f t="shared" si="17"/>
        <v>-0.18553107607724187</v>
      </c>
      <c r="Y61">
        <f t="shared" si="18"/>
        <v>0.67602951731264527</v>
      </c>
      <c r="AA61" s="43">
        <f t="shared" si="24"/>
        <v>50</v>
      </c>
      <c r="AB61" s="6">
        <f t="shared" si="25"/>
        <v>0.90534003070943159</v>
      </c>
      <c r="AC61" s="6">
        <f>VLOOKUP($C61,'hours (1)'!$A$19:$P$103,16)</f>
        <v>0.3032477864986225</v>
      </c>
      <c r="AD61" s="6">
        <f t="shared" si="26"/>
        <v>0.94382572840957502</v>
      </c>
    </row>
    <row r="62" spans="1:30" x14ac:dyDescent="0.25">
      <c r="A62" s="39">
        <f>'hours (1)'!$A62*'hours (1)'!$B62/'hours (1)'!$A$105</f>
        <v>1.8249113161539524E-4</v>
      </c>
      <c r="B62" s="9">
        <f>'hours (3)'!$E62</f>
        <v>49.194425019587612</v>
      </c>
      <c r="C62" s="26">
        <f t="shared" si="19"/>
        <v>51</v>
      </c>
      <c r="D62" s="25">
        <f t="shared" si="2"/>
        <v>0.77950944373764308</v>
      </c>
      <c r="E62" s="25">
        <f t="shared" si="20"/>
        <v>4.1333166348679496E-3</v>
      </c>
      <c r="F62" s="25">
        <f t="shared" si="3"/>
        <v>3.6267483246595119E-3</v>
      </c>
      <c r="G62" s="30">
        <f t="shared" si="4"/>
        <v>7.8776381426884712E-6</v>
      </c>
      <c r="H62" s="9">
        <f>'hours (3)'!$K62</f>
        <v>51.30106796777963</v>
      </c>
      <c r="I62" s="7">
        <f t="shared" si="5"/>
        <v>4.2</v>
      </c>
      <c r="J62" s="9">
        <f t="shared" si="6"/>
        <v>0.16772506231003118</v>
      </c>
      <c r="K62" s="18">
        <f t="shared" si="21"/>
        <v>4.2189696845651966E-3</v>
      </c>
      <c r="L62" s="19">
        <f t="shared" si="7"/>
        <v>2.435806522454842E-3</v>
      </c>
      <c r="M62" s="19">
        <f t="shared" si="8"/>
        <v>4.8871684427395361E-2</v>
      </c>
      <c r="N62" s="19">
        <f t="shared" si="9"/>
        <v>3.0781331364615382E-2</v>
      </c>
      <c r="O62" s="19">
        <f t="shared" si="10"/>
        <v>-3.4312000783687235E-7</v>
      </c>
      <c r="P62" s="21">
        <f t="shared" si="11"/>
        <v>33.084609304695611</v>
      </c>
      <c r="Q62" s="9">
        <f t="shared" si="22"/>
        <v>0.64491073217958883</v>
      </c>
      <c r="R62" s="9">
        <f t="shared" si="12"/>
        <v>5.7519222269338455</v>
      </c>
      <c r="S62" s="6">
        <f t="shared" si="23"/>
        <v>2.4896497129855522E-2</v>
      </c>
      <c r="T62" s="6">
        <f t="shared" si="13"/>
        <v>2.2882115375709087E-2</v>
      </c>
      <c r="U62" s="6">
        <f t="shared" si="14"/>
        <v>0.55099352898800957</v>
      </c>
      <c r="V62" s="6">
        <f t="shared" si="15"/>
        <v>5.8859373210777026E-3</v>
      </c>
      <c r="W62" s="6">
        <f t="shared" si="16"/>
        <v>-0.18955289605042075</v>
      </c>
      <c r="X62" s="6">
        <f t="shared" si="17"/>
        <v>-0.18366695872934299</v>
      </c>
      <c r="Y62">
        <f t="shared" si="18"/>
        <v>0.67854775023155811</v>
      </c>
      <c r="AA62" s="43">
        <f t="shared" si="24"/>
        <v>51</v>
      </c>
      <c r="AB62" s="6">
        <f t="shared" si="25"/>
        <v>0.90548596317176266</v>
      </c>
      <c r="AC62" s="6">
        <f>VLOOKUP($C62,'hours (1)'!$A$19:$P$103,16)</f>
        <v>0.26537239064064738</v>
      </c>
      <c r="AD62" s="6">
        <f t="shared" si="26"/>
        <v>0.94390890021469276</v>
      </c>
    </row>
    <row r="63" spans="1:30" x14ac:dyDescent="0.25">
      <c r="A63" s="39">
        <f>'hours (1)'!$A63*'hours (1)'!$B63/'hours (1)'!$A$105</f>
        <v>1.2452954545526156E-2</v>
      </c>
      <c r="B63" s="9">
        <f>'hours (3)'!$E63</f>
        <v>50.194425019587612</v>
      </c>
      <c r="C63" s="26">
        <f t="shared" si="19"/>
        <v>52</v>
      </c>
      <c r="D63" s="25">
        <f t="shared" si="2"/>
        <v>0.76451887751191916</v>
      </c>
      <c r="E63" s="25">
        <f t="shared" si="20"/>
        <v>4.0525825940063076E-3</v>
      </c>
      <c r="F63" s="25">
        <f t="shared" si="3"/>
        <v>3.5557559820711096E-3</v>
      </c>
      <c r="G63" s="30">
        <f t="shared" si="4"/>
        <v>7.914337328271428E-6</v>
      </c>
      <c r="H63" s="9">
        <f>'hours (3)'!$K63</f>
        <v>52.30106796777963</v>
      </c>
      <c r="I63" s="7">
        <f t="shared" si="5"/>
        <v>4.2</v>
      </c>
      <c r="J63" s="9">
        <f t="shared" si="6"/>
        <v>0.16445130301016858</v>
      </c>
      <c r="K63" s="18">
        <f t="shared" si="21"/>
        <v>4.1366212802751261E-3</v>
      </c>
      <c r="L63" s="19">
        <f t="shared" si="7"/>
        <v>2.1993859906913604E-3</v>
      </c>
      <c r="M63" s="19">
        <f t="shared" si="8"/>
        <v>4.8997357543699105E-2</v>
      </c>
      <c r="N63" s="19">
        <f t="shared" si="9"/>
        <v>3.0924730918108326E-2</v>
      </c>
      <c r="O63" s="19">
        <f t="shared" si="10"/>
        <v>-2.5072512922774681E-7</v>
      </c>
      <c r="P63" s="21">
        <f t="shared" si="11"/>
        <v>33.143377796914528</v>
      </c>
      <c r="Q63" s="9">
        <f t="shared" si="22"/>
        <v>0.6337036524250842</v>
      </c>
      <c r="R63" s="9">
        <f t="shared" si="12"/>
        <v>5.7570285562010657</v>
      </c>
      <c r="S63" s="6">
        <f t="shared" si="23"/>
        <v>2.4874414607473642E-2</v>
      </c>
      <c r="T63" s="6">
        <f t="shared" si="13"/>
        <v>2.2898547970368169E-2</v>
      </c>
      <c r="U63" s="6">
        <f t="shared" si="14"/>
        <v>0.54983738239239999</v>
      </c>
      <c r="V63" s="6">
        <f t="shared" si="15"/>
        <v>5.7730723149911891E-3</v>
      </c>
      <c r="W63" s="6">
        <f t="shared" si="16"/>
        <v>-0.18766529772641222</v>
      </c>
      <c r="X63" s="6">
        <f t="shared" si="17"/>
        <v>-0.181892225411421</v>
      </c>
      <c r="Y63">
        <f t="shared" si="18"/>
        <v>0.68097915794553965</v>
      </c>
      <c r="AA63" s="43">
        <f t="shared" si="24"/>
        <v>52</v>
      </c>
      <c r="AB63" s="6">
        <f t="shared" si="25"/>
        <v>0.91527115074441978</v>
      </c>
      <c r="AC63" s="6">
        <f>VLOOKUP($C63,'hours (1)'!$A$19:$P$103,16)</f>
        <v>0.46102045026124311</v>
      </c>
      <c r="AD63" s="6">
        <f t="shared" si="26"/>
        <v>0.95359742881537013</v>
      </c>
    </row>
    <row r="64" spans="1:30" x14ac:dyDescent="0.25">
      <c r="A64" s="39">
        <f>'hours (1)'!$A64*'hours (1)'!$B64/'hours (1)'!$A$105</f>
        <v>7.3997926365189078E-4</v>
      </c>
      <c r="B64" s="9">
        <f>'hours (3)'!$E64</f>
        <v>51.194425019587612</v>
      </c>
      <c r="C64" s="26">
        <f t="shared" si="19"/>
        <v>53</v>
      </c>
      <c r="D64" s="25">
        <f t="shared" si="2"/>
        <v>0.75009399303056212</v>
      </c>
      <c r="E64" s="25">
        <f t="shared" si="20"/>
        <v>3.9749423789880826E-3</v>
      </c>
      <c r="F64" s="25">
        <f t="shared" si="3"/>
        <v>3.4874898540705281E-3</v>
      </c>
      <c r="G64" s="30">
        <f t="shared" si="4"/>
        <v>7.9496272089709324E-6</v>
      </c>
      <c r="H64" s="9">
        <f>'hours (3)'!$K64</f>
        <v>53.30106796777963</v>
      </c>
      <c r="I64" s="7">
        <f t="shared" si="5"/>
        <v>4.2</v>
      </c>
      <c r="J64" s="9">
        <f t="shared" si="6"/>
        <v>0.16130291243707873</v>
      </c>
      <c r="K64" s="18">
        <f t="shared" si="21"/>
        <v>4.0574264110045813E-3</v>
      </c>
      <c r="L64" s="19">
        <f t="shared" si="7"/>
        <v>1.9719934822265278E-3</v>
      </c>
      <c r="M64" s="19">
        <f t="shared" si="8"/>
        <v>4.9118195850317209E-2</v>
      </c>
      <c r="N64" s="19">
        <f t="shared" si="9"/>
        <v>3.1062623709317248E-2</v>
      </c>
      <c r="O64" s="19">
        <f t="shared" si="10"/>
        <v>-1.7943966550137969E-7</v>
      </c>
      <c r="P64" s="21">
        <f t="shared" si="11"/>
        <v>33.199491401345959</v>
      </c>
      <c r="Q64" s="9">
        <f t="shared" si="22"/>
        <v>0.62286728328623686</v>
      </c>
      <c r="R64" s="9">
        <f t="shared" si="12"/>
        <v>5.7618999818936425</v>
      </c>
      <c r="S64" s="6">
        <f t="shared" si="23"/>
        <v>2.4853384415559961E-2</v>
      </c>
      <c r="T64" s="6">
        <f t="shared" si="13"/>
        <v>2.2914587704301E-2</v>
      </c>
      <c r="U64" s="6">
        <f t="shared" si="14"/>
        <v>0.54873189628122332</v>
      </c>
      <c r="V64" s="6">
        <f t="shared" si="15"/>
        <v>5.6644543378830898E-3</v>
      </c>
      <c r="W64" s="6">
        <f t="shared" si="16"/>
        <v>-0.1858650550580373</v>
      </c>
      <c r="X64" s="6">
        <f t="shared" si="17"/>
        <v>-0.18020060072015426</v>
      </c>
      <c r="Y64">
        <f t="shared" si="18"/>
        <v>0.68332796491687298</v>
      </c>
      <c r="AA64" s="43">
        <f t="shared" si="24"/>
        <v>53</v>
      </c>
      <c r="AB64" s="6">
        <f t="shared" si="25"/>
        <v>0.91584266308358009</v>
      </c>
      <c r="AC64" s="6">
        <f>VLOOKUP($C64,'hours (1)'!$A$19:$P$103,16)</f>
        <v>0.187520309125004</v>
      </c>
      <c r="AD64" s="6">
        <f t="shared" si="26"/>
        <v>0.95382759546798956</v>
      </c>
    </row>
    <row r="65" spans="1:30" x14ac:dyDescent="0.25">
      <c r="A65" s="39">
        <f>'hours (1)'!$A65*'hours (1)'!$B65/'hours (1)'!$A$105</f>
        <v>9.2957276418990117E-4</v>
      </c>
      <c r="B65" s="9">
        <f>'hours (3)'!$E65</f>
        <v>52.194425019587612</v>
      </c>
      <c r="C65" s="26">
        <f t="shared" si="19"/>
        <v>54</v>
      </c>
      <c r="D65" s="25">
        <f t="shared" si="2"/>
        <v>0.73620336352999616</v>
      </c>
      <c r="E65" s="25">
        <f t="shared" si="20"/>
        <v>3.9002214743128244E-3</v>
      </c>
      <c r="F65" s="25">
        <f t="shared" si="3"/>
        <v>3.4217958480048556E-3</v>
      </c>
      <c r="G65" s="30">
        <f t="shared" si="4"/>
        <v>7.983587442319899E-6</v>
      </c>
      <c r="H65" s="9">
        <f>'hours (3)'!$K65</f>
        <v>54.30106796777963</v>
      </c>
      <c r="I65" s="7">
        <f t="shared" si="5"/>
        <v>4.2</v>
      </c>
      <c r="J65" s="9">
        <f t="shared" si="6"/>
        <v>0.1582728234696236</v>
      </c>
      <c r="K65" s="18">
        <f t="shared" si="21"/>
        <v>3.9812073098210122E-3</v>
      </c>
      <c r="L65" s="19">
        <f t="shared" si="7"/>
        <v>1.753121489240006E-3</v>
      </c>
      <c r="M65" s="19">
        <f t="shared" si="8"/>
        <v>4.9234473102084148E-2</v>
      </c>
      <c r="N65" s="19">
        <f t="shared" si="9"/>
        <v>3.119532099459487E-2</v>
      </c>
      <c r="O65" s="19">
        <f t="shared" si="10"/>
        <v>-1.2521930276010451E-7</v>
      </c>
      <c r="P65" s="21">
        <f t="shared" si="11"/>
        <v>33.253125889699696</v>
      </c>
      <c r="Q65" s="9">
        <f t="shared" si="22"/>
        <v>0.61238438090077618</v>
      </c>
      <c r="R65" s="9">
        <f t="shared" si="12"/>
        <v>5.7665523399774754</v>
      </c>
      <c r="S65" s="6">
        <f t="shared" si="23"/>
        <v>2.4833333120248768E-2</v>
      </c>
      <c r="T65" s="6">
        <f t="shared" si="13"/>
        <v>2.2930240986888891E-2</v>
      </c>
      <c r="U65" s="6">
        <f t="shared" si="14"/>
        <v>0.54767385062551255</v>
      </c>
      <c r="V65" s="6">
        <f t="shared" si="15"/>
        <v>5.5598480971148544E-3</v>
      </c>
      <c r="W65" s="6">
        <f t="shared" si="16"/>
        <v>-0.18414623098247365</v>
      </c>
      <c r="X65" s="6">
        <f t="shared" si="17"/>
        <v>-0.17858638288535894</v>
      </c>
      <c r="Y65">
        <f t="shared" si="18"/>
        <v>0.68559814414552833</v>
      </c>
      <c r="AA65" s="43">
        <f t="shared" si="24"/>
        <v>54</v>
      </c>
      <c r="AB65" s="6">
        <f t="shared" si="25"/>
        <v>0.91654852221599892</v>
      </c>
      <c r="AC65" s="6">
        <f>VLOOKUP($C65,'hours (1)'!$A$19:$P$103,16)</f>
        <v>0.25213222401674296</v>
      </c>
      <c r="AD65" s="6">
        <f t="shared" si="26"/>
        <v>0.9542098167569123</v>
      </c>
    </row>
    <row r="66" spans="1:30" x14ac:dyDescent="0.25">
      <c r="A66" s="39">
        <f>'hours (1)'!$A66*'hours (1)'!$B66/'hours (1)'!$A$105</f>
        <v>2.5405581773995402E-2</v>
      </c>
      <c r="B66" s="9">
        <f>'hours (3)'!$E66</f>
        <v>53.194425019587612</v>
      </c>
      <c r="C66" s="26">
        <f t="shared" si="19"/>
        <v>55</v>
      </c>
      <c r="D66" s="25">
        <f t="shared" si="2"/>
        <v>0.7228178478294508</v>
      </c>
      <c r="E66" s="25">
        <f t="shared" si="20"/>
        <v>3.8282582490342938E-3</v>
      </c>
      <c r="F66" s="25">
        <f t="shared" si="3"/>
        <v>3.3585312704773789E-3</v>
      </c>
      <c r="G66" s="30">
        <f t="shared" si="4"/>
        <v>8.0162917930548682E-6</v>
      </c>
      <c r="H66" s="9">
        <f>'hours (3)'!$K66</f>
        <v>55.30106796777963</v>
      </c>
      <c r="I66" s="7">
        <f t="shared" si="5"/>
        <v>4.2</v>
      </c>
      <c r="J66" s="9">
        <f t="shared" si="6"/>
        <v>0.15535449042669766</v>
      </c>
      <c r="K66" s="18">
        <f t="shared" si="21"/>
        <v>3.9077993261363159E-3</v>
      </c>
      <c r="L66" s="19">
        <f t="shared" si="7"/>
        <v>1.5422998488640455E-3</v>
      </c>
      <c r="M66" s="19">
        <f t="shared" si="8"/>
        <v>4.9346442768117144E-2</v>
      </c>
      <c r="N66" s="19">
        <f t="shared" si="9"/>
        <v>3.1323111004595776E-2</v>
      </c>
      <c r="O66" s="19">
        <f t="shared" si="10"/>
        <v>-8.4701717556479039E-8</v>
      </c>
      <c r="P66" s="21">
        <f t="shared" si="11"/>
        <v>33.304441868953255</v>
      </c>
      <c r="Q66" s="9">
        <f t="shared" si="22"/>
        <v>0.60223867445665979</v>
      </c>
      <c r="R66" s="9">
        <f t="shared" si="12"/>
        <v>5.7710000752861941</v>
      </c>
      <c r="S66" s="6">
        <f t="shared" si="23"/>
        <v>2.4814193960465167E-2</v>
      </c>
      <c r="T66" s="6">
        <f t="shared" si="13"/>
        <v>2.2945515125135423E-2</v>
      </c>
      <c r="U66" s="6">
        <f t="shared" si="14"/>
        <v>0.54666028936923405</v>
      </c>
      <c r="V66" s="6">
        <f t="shared" si="15"/>
        <v>5.4590353657517961E-3</v>
      </c>
      <c r="W66" s="6">
        <f t="shared" si="16"/>
        <v>-0.18250341510556967</v>
      </c>
      <c r="X66" s="6">
        <f t="shared" si="17"/>
        <v>-0.17704437973981785</v>
      </c>
      <c r="Y66">
        <f t="shared" si="18"/>
        <v>0.68779343337678001</v>
      </c>
      <c r="AA66" s="43">
        <f t="shared" si="24"/>
        <v>55</v>
      </c>
      <c r="AB66" s="6">
        <f t="shared" si="25"/>
        <v>0.9355203130535128</v>
      </c>
      <c r="AC66" s="6">
        <f>VLOOKUP($C66,'hours (1)'!$A$19:$P$103,16)</f>
        <v>0.29727298917413836</v>
      </c>
      <c r="AD66" s="6">
        <f t="shared" si="26"/>
        <v>0.96632227402995108</v>
      </c>
    </row>
    <row r="67" spans="1:30" x14ac:dyDescent="0.25">
      <c r="A67" s="39">
        <f>'hours (1)'!$A67*'hours (1)'!$B67/'hours (1)'!$A$105</f>
        <v>2.5752398627161503E-3</v>
      </c>
      <c r="B67" s="9">
        <f>'hours (3)'!$E67</f>
        <v>54.194425019587612</v>
      </c>
      <c r="C67" s="26">
        <f t="shared" si="19"/>
        <v>56</v>
      </c>
      <c r="D67" s="25">
        <f t="shared" si="2"/>
        <v>0.70991038626106773</v>
      </c>
      <c r="E67" s="25">
        <f t="shared" si="20"/>
        <v>3.7589027890942797E-3</v>
      </c>
      <c r="F67" s="25">
        <f t="shared" si="3"/>
        <v>3.2975637922973092E-3</v>
      </c>
      <c r="G67" s="30">
        <f t="shared" si="4"/>
        <v>8.0478086681807881E-6</v>
      </c>
      <c r="H67" s="9">
        <f>'hours (3)'!$K67</f>
        <v>56.30106796777963</v>
      </c>
      <c r="I67" s="7">
        <f t="shared" si="5"/>
        <v>4.2</v>
      </c>
      <c r="J67" s="9">
        <f t="shared" si="6"/>
        <v>0.15254184184018477</v>
      </c>
      <c r="K67" s="18">
        <f t="shared" si="21"/>
        <v>3.8370497377539997E-3</v>
      </c>
      <c r="L67" s="19">
        <f t="shared" si="7"/>
        <v>1.339092369727346E-3</v>
      </c>
      <c r="M67" s="19">
        <f t="shared" si="8"/>
        <v>4.9454339876764099E-2</v>
      </c>
      <c r="N67" s="19">
        <f t="shared" si="9"/>
        <v>3.1446261035005404E-2</v>
      </c>
      <c r="O67" s="19">
        <f t="shared" si="10"/>
        <v>-5.5090714323746681E-8</v>
      </c>
      <c r="P67" s="21">
        <f t="shared" si="11"/>
        <v>33.353586380220136</v>
      </c>
      <c r="Q67" s="9">
        <f t="shared" si="22"/>
        <v>0.59241480817571635</v>
      </c>
      <c r="R67" s="9">
        <f t="shared" si="12"/>
        <v>5.7752563908644037</v>
      </c>
      <c r="S67" s="6">
        <f t="shared" si="23"/>
        <v>2.4795906107395696E-2</v>
      </c>
      <c r="T67" s="6">
        <f t="shared" si="13"/>
        <v>2.2960418096019758E-2</v>
      </c>
      <c r="U67" s="6">
        <f t="shared" si="14"/>
        <v>0.54568849426688271</v>
      </c>
      <c r="V67" s="6">
        <f t="shared" si="15"/>
        <v>5.3618134629021402E-3</v>
      </c>
      <c r="W67" s="6">
        <f t="shared" si="16"/>
        <v>-0.18093166653393028</v>
      </c>
      <c r="X67" s="6">
        <f t="shared" si="17"/>
        <v>-0.17556985307102832</v>
      </c>
      <c r="Y67">
        <f t="shared" si="18"/>
        <v>0.68991735041375535</v>
      </c>
      <c r="AA67" s="43">
        <f t="shared" si="24"/>
        <v>56</v>
      </c>
      <c r="AB67" s="6">
        <f t="shared" si="25"/>
        <v>0.93741202119941425</v>
      </c>
      <c r="AC67" s="6">
        <f>VLOOKUP($C67,'hours (1)'!$A$19:$P$103,16)</f>
        <v>0.23099471418976511</v>
      </c>
      <c r="AD67" s="6">
        <f t="shared" si="26"/>
        <v>0.96726075323974747</v>
      </c>
    </row>
    <row r="68" spans="1:30" x14ac:dyDescent="0.25">
      <c r="A68" s="39">
        <f>'hours (1)'!$A68*'hours (1)'!$B68/'hours (1)'!$A$105</f>
        <v>3.1776867947257284E-4</v>
      </c>
      <c r="B68" s="9">
        <f>'hours (3)'!$E68</f>
        <v>55.194425019587612</v>
      </c>
      <c r="C68" s="26">
        <f t="shared" si="19"/>
        <v>57</v>
      </c>
      <c r="D68" s="25">
        <f t="shared" si="2"/>
        <v>0.69745581808104906</v>
      </c>
      <c r="E68" s="25">
        <f t="shared" si="20"/>
        <v>3.6920158543930219E-3</v>
      </c>
      <c r="F68" s="25">
        <f t="shared" si="3"/>
        <v>3.2387705242065247E-3</v>
      </c>
      <c r="G68" s="30">
        <f t="shared" si="4"/>
        <v>8.0782015947700941E-6</v>
      </c>
      <c r="H68" s="9">
        <f>'hours (3)'!$K68</f>
        <v>57.30106796777963</v>
      </c>
      <c r="I68" s="7">
        <f t="shared" si="5"/>
        <v>4.2</v>
      </c>
      <c r="J68" s="9">
        <f t="shared" si="6"/>
        <v>0.14982923827002442</v>
      </c>
      <c r="K68" s="18">
        <f t="shared" si="21"/>
        <v>3.7688166897459721E-3</v>
      </c>
      <c r="L68" s="19">
        <f t="shared" si="7"/>
        <v>1.1430938177355576E-3</v>
      </c>
      <c r="M68" s="19">
        <f t="shared" si="8"/>
        <v>4.955838266278275E-2</v>
      </c>
      <c r="N68" s="19">
        <f t="shared" si="9"/>
        <v>3.1565019313507213E-2</v>
      </c>
      <c r="O68" s="19">
        <f t="shared" si="10"/>
        <v>-3.4061020851017254E-8</v>
      </c>
      <c r="P68" s="21">
        <f t="shared" si="11"/>
        <v>33.400694299788185</v>
      </c>
      <c r="Q68" s="9">
        <f t="shared" si="22"/>
        <v>0.58289828591972115</v>
      </c>
      <c r="R68" s="9">
        <f t="shared" si="12"/>
        <v>5.7793333784951519</v>
      </c>
      <c r="S68" s="6">
        <f t="shared" si="23"/>
        <v>2.477841402035514E-2</v>
      </c>
      <c r="T68" s="6">
        <f t="shared" si="13"/>
        <v>2.2974958361542123E-2</v>
      </c>
      <c r="U68" s="6">
        <f t="shared" si="14"/>
        <v>0.54475596172858864</v>
      </c>
      <c r="V68" s="6">
        <f t="shared" si="15"/>
        <v>5.2679938936003399E-3</v>
      </c>
      <c r="W68" s="6">
        <f t="shared" si="16"/>
        <v>-0.179426463996882</v>
      </c>
      <c r="X68" s="6">
        <f t="shared" si="17"/>
        <v>-0.17415847010328173</v>
      </c>
      <c r="Y68">
        <f t="shared" si="18"/>
        <v>0.69197320752377678</v>
      </c>
      <c r="AA68" s="43">
        <f t="shared" si="24"/>
        <v>57</v>
      </c>
      <c r="AB68" s="6">
        <f t="shared" si="25"/>
        <v>0.93764169656133145</v>
      </c>
      <c r="AC68" s="6">
        <f>VLOOKUP($C68,'hours (1)'!$A$19:$P$103,16)</f>
        <v>0.48320716927308266</v>
      </c>
      <c r="AD68" s="6">
        <f t="shared" si="26"/>
        <v>0.96749910384475357</v>
      </c>
    </row>
    <row r="69" spans="1:30" x14ac:dyDescent="0.25">
      <c r="A69" s="39">
        <f>'hours (1)'!$A69*'hours (1)'!$B69/'hours (1)'!$A$105</f>
        <v>9.4208780201180179E-4</v>
      </c>
      <c r="B69" s="9">
        <f>'hours (3)'!$E69</f>
        <v>56.194425019587612</v>
      </c>
      <c r="C69" s="26">
        <f t="shared" si="19"/>
        <v>58</v>
      </c>
      <c r="D69" s="25">
        <f t="shared" si="2"/>
        <v>0.68543071776930686</v>
      </c>
      <c r="E69" s="25">
        <f t="shared" si="20"/>
        <v>3.6274679453205038E-3</v>
      </c>
      <c r="F69" s="25">
        <f t="shared" si="3"/>
        <v>3.182037189792394E-3</v>
      </c>
      <c r="G69" s="30">
        <f t="shared" si="4"/>
        <v>8.1075296475218591E-6</v>
      </c>
      <c r="H69" s="9">
        <f>'hours (3)'!$K69</f>
        <v>58.30106796777963</v>
      </c>
      <c r="I69" s="7">
        <f t="shared" si="5"/>
        <v>4.2</v>
      </c>
      <c r="J69" s="9">
        <f t="shared" si="6"/>
        <v>0.14721143454427404</v>
      </c>
      <c r="K69" s="18">
        <f t="shared" si="21"/>
        <v>3.7029682446360363E-3</v>
      </c>
      <c r="L69" s="19">
        <f t="shared" si="7"/>
        <v>9.5392721723240592E-4</v>
      </c>
      <c r="M69" s="19">
        <f t="shared" si="8"/>
        <v>4.9658774041052206E-2</v>
      </c>
      <c r="N69" s="19">
        <f t="shared" si="9"/>
        <v>3.1679616670440766E-2</v>
      </c>
      <c r="O69" s="19">
        <f t="shared" si="10"/>
        <v>-1.967983115358507E-8</v>
      </c>
      <c r="P69" s="21">
        <f t="shared" si="11"/>
        <v>33.445889570264278</v>
      </c>
      <c r="Q69" s="9">
        <f t="shared" si="22"/>
        <v>0.57367541858321214</v>
      </c>
      <c r="R69" s="9">
        <f t="shared" si="12"/>
        <v>5.7832421331173984</v>
      </c>
      <c r="S69" s="6">
        <f t="shared" si="23"/>
        <v>2.4761666884733857E-2</v>
      </c>
      <c r="T69" s="6">
        <f t="shared" si="13"/>
        <v>2.2989144718593903E-2</v>
      </c>
      <c r="U69" s="6">
        <f t="shared" si="14"/>
        <v>0.54386038228337108</v>
      </c>
      <c r="V69" s="6">
        <f t="shared" si="15"/>
        <v>5.1774011290320558E-3</v>
      </c>
      <c r="W69" s="6">
        <f t="shared" si="16"/>
        <v>-0.17798366219645731</v>
      </c>
      <c r="X69" s="6">
        <f t="shared" si="17"/>
        <v>-0.17280626106742539</v>
      </c>
      <c r="Y69">
        <f t="shared" si="18"/>
        <v>0.69396412494831683</v>
      </c>
      <c r="AA69" s="43">
        <f t="shared" si="24"/>
        <v>58</v>
      </c>
      <c r="AB69" s="6">
        <f t="shared" si="25"/>
        <v>0.93831184060799722</v>
      </c>
      <c r="AC69" s="6">
        <f>VLOOKUP($C69,'hours (1)'!$A$19:$P$103,16)</f>
        <v>0.2790711788398742</v>
      </c>
      <c r="AD69" s="6">
        <f t="shared" si="26"/>
        <v>0.96790075741410964</v>
      </c>
    </row>
    <row r="70" spans="1:30" x14ac:dyDescent="0.25">
      <c r="A70" s="39">
        <f>'hours (1)'!$A70*'hours (1)'!$B70/'hours (1)'!$A$105</f>
        <v>2.2411880129843259E-4</v>
      </c>
      <c r="B70" s="9">
        <f>'hours (3)'!$E70</f>
        <v>57.194425019587612</v>
      </c>
      <c r="C70" s="26">
        <f t="shared" si="19"/>
        <v>59</v>
      </c>
      <c r="D70" s="25">
        <f t="shared" si="2"/>
        <v>0.67381324797660669</v>
      </c>
      <c r="E70" s="25">
        <f t="shared" si="20"/>
        <v>3.5651384655746364E-3</v>
      </c>
      <c r="F70" s="25">
        <f t="shared" si="3"/>
        <v>3.1272573838690373E-3</v>
      </c>
      <c r="G70" s="30">
        <f t="shared" si="4"/>
        <v>8.135847832138406E-6</v>
      </c>
      <c r="H70" s="9">
        <f>'hours (3)'!$K70</f>
        <v>59.30106796777963</v>
      </c>
      <c r="I70" s="7">
        <f t="shared" si="5"/>
        <v>4.2</v>
      </c>
      <c r="J70" s="9">
        <f t="shared" si="6"/>
        <v>0.14468354589188726</v>
      </c>
      <c r="K70" s="18">
        <f t="shared" si="21"/>
        <v>3.6393815305010764E-3</v>
      </c>
      <c r="L70" s="19">
        <f t="shared" si="7"/>
        <v>7.7124142969663134E-4</v>
      </c>
      <c r="M70" s="19">
        <f t="shared" si="8"/>
        <v>4.9755702927762803E-2</v>
      </c>
      <c r="N70" s="19">
        <f t="shared" si="9"/>
        <v>3.1790268036819572E-2</v>
      </c>
      <c r="O70" s="19">
        <f t="shared" si="10"/>
        <v>-1.0341970627103514E-8</v>
      </c>
      <c r="P70" s="21">
        <f t="shared" si="11"/>
        <v>33.489286285350467</v>
      </c>
      <c r="Q70" s="9">
        <f t="shared" si="22"/>
        <v>0.56473327434079912</v>
      </c>
      <c r="R70" s="9">
        <f t="shared" si="12"/>
        <v>5.7869928534041293</v>
      </c>
      <c r="S70" s="6">
        <f t="shared" si="23"/>
        <v>2.4745618120086913E-2</v>
      </c>
      <c r="T70" s="6">
        <f t="shared" si="13"/>
        <v>2.3002986177291723E-2</v>
      </c>
      <c r="U70" s="6">
        <f t="shared" si="14"/>
        <v>0.54299962232665977</v>
      </c>
      <c r="V70" s="6">
        <f t="shared" si="15"/>
        <v>5.0898715104884503E-3</v>
      </c>
      <c r="W70" s="6">
        <f t="shared" si="16"/>
        <v>-0.17659945349663919</v>
      </c>
      <c r="X70" s="6">
        <f t="shared" si="17"/>
        <v>-0.17150958198615074</v>
      </c>
      <c r="Y70">
        <f t="shared" si="18"/>
        <v>0.69589304354073089</v>
      </c>
      <c r="AA70" s="43">
        <f t="shared" si="24"/>
        <v>59</v>
      </c>
      <c r="AB70" s="6">
        <f t="shared" si="25"/>
        <v>0.93846878008834311</v>
      </c>
      <c r="AC70" s="6">
        <f>VLOOKUP($C70,'hours (1)'!$A$19:$P$103,16)</f>
        <v>0.48132803124006113</v>
      </c>
      <c r="AD70" s="6">
        <f t="shared" si="26"/>
        <v>0.96806299140239516</v>
      </c>
    </row>
    <row r="71" spans="1:30" x14ac:dyDescent="0.25">
      <c r="A71" s="39">
        <f>'hours (1)'!$A71*'hours (1)'!$B71/'hours (1)'!$A$105</f>
        <v>5.4872098282793484E-2</v>
      </c>
      <c r="B71" s="9">
        <f>'hours (3)'!$E71</f>
        <v>58.194425019587612</v>
      </c>
      <c r="C71" s="26">
        <f t="shared" si="19"/>
        <v>60</v>
      </c>
      <c r="D71" s="25">
        <f t="shared" si="2"/>
        <v>0.66258302717699658</v>
      </c>
      <c r="E71" s="25">
        <f t="shared" si="20"/>
        <v>3.5049149698736623E-3</v>
      </c>
      <c r="F71" s="25">
        <f t="shared" si="3"/>
        <v>3.0743319061964903E-3</v>
      </c>
      <c r="G71" s="30">
        <f t="shared" si="4"/>
        <v>8.1632074297563155E-6</v>
      </c>
      <c r="H71" s="9">
        <f>'hours (3)'!$K71</f>
        <v>60.30106796777963</v>
      </c>
      <c r="I71" s="7">
        <f t="shared" si="5"/>
        <v>4.2</v>
      </c>
      <c r="J71" s="9">
        <f t="shared" si="6"/>
        <v>0.14224101750788737</v>
      </c>
      <c r="K71" s="18">
        <f t="shared" si="21"/>
        <v>3.5779419754109888E-3</v>
      </c>
      <c r="L71" s="19">
        <f t="shared" si="7"/>
        <v>5.9470897723643001E-4</v>
      </c>
      <c r="M71" s="19">
        <f t="shared" si="8"/>
        <v>4.9849345427189905E-2</v>
      </c>
      <c r="N71" s="19">
        <f t="shared" si="9"/>
        <v>3.1897173790171679E-2</v>
      </c>
      <c r="O71" s="19">
        <f t="shared" si="10"/>
        <v>-4.716179100028306E-9</v>
      </c>
      <c r="P71" s="21">
        <f t="shared" si="11"/>
        <v>33.53098964813119</v>
      </c>
      <c r="Q71" s="9">
        <f t="shared" si="22"/>
        <v>0.55605963174727913</v>
      </c>
      <c r="R71" s="9">
        <f t="shared" si="12"/>
        <v>5.7905949304135573</v>
      </c>
      <c r="S71" s="6">
        <f t="shared" si="23"/>
        <v>2.4730224948368702E-2</v>
      </c>
      <c r="T71" s="6">
        <f t="shared" si="13"/>
        <v>2.3016491862617408E-2</v>
      </c>
      <c r="U71" s="6">
        <f t="shared" si="14"/>
        <v>0.542171707865166</v>
      </c>
      <c r="V71" s="6">
        <f t="shared" si="15"/>
        <v>5.0052522626543835E-3</v>
      </c>
      <c r="W71" s="6">
        <f t="shared" si="16"/>
        <v>-0.17527033420512991</v>
      </c>
      <c r="X71" s="6">
        <f t="shared" si="17"/>
        <v>-0.17026508194247553</v>
      </c>
      <c r="Y71">
        <f t="shared" si="18"/>
        <v>0.69776273656539689</v>
      </c>
      <c r="AA71" s="43">
        <f t="shared" si="24"/>
        <v>60</v>
      </c>
      <c r="AB71" s="6">
        <f t="shared" si="25"/>
        <v>0.97630288618951977</v>
      </c>
      <c r="AC71" s="6">
        <f>VLOOKUP($C71,'hours (1)'!$A$19:$P$103,16)</f>
        <v>0.2466006219830662</v>
      </c>
      <c r="AD71" s="6">
        <f t="shared" si="26"/>
        <v>0.98810061088819678</v>
      </c>
    </row>
    <row r="72" spans="1:30" x14ac:dyDescent="0.25">
      <c r="A72" s="39">
        <f>'hours (1)'!$A72*'hours (1)'!$B72/'hours (1)'!$A$105</f>
        <v>9.7698279171161041E-5</v>
      </c>
      <c r="B72" s="9">
        <f>'hours (3)'!$E72</f>
        <v>59.194425019587612</v>
      </c>
      <c r="C72" s="26">
        <f t="shared" si="19"/>
        <v>61</v>
      </c>
      <c r="D72" s="25">
        <f t="shared" si="2"/>
        <v>0.65172101033802943</v>
      </c>
      <c r="E72" s="25">
        <f t="shared" si="20"/>
        <v>3.4466924866857302E-3</v>
      </c>
      <c r="F72" s="25">
        <f t="shared" si="3"/>
        <v>3.0231681617573637E-3</v>
      </c>
      <c r="G72" s="30">
        <f t="shared" si="4"/>
        <v>8.1896563069708152E-6</v>
      </c>
      <c r="H72" s="9">
        <f>'hours (3)'!$K72</f>
        <v>61.30106796777963</v>
      </c>
      <c r="I72" s="7">
        <f t="shared" si="5"/>
        <v>4.2</v>
      </c>
      <c r="J72" s="9">
        <f t="shared" si="6"/>
        <v>0.13987959715178166</v>
      </c>
      <c r="K72" s="18">
        <f t="shared" si="21"/>
        <v>3.5185426181669924E-3</v>
      </c>
      <c r="L72" s="19">
        <f t="shared" si="7"/>
        <v>4.2402408247968482E-4</v>
      </c>
      <c r="M72" s="19">
        <f t="shared" si="8"/>
        <v>4.9939865899739477E-2</v>
      </c>
      <c r="N72" s="19">
        <f t="shared" si="9"/>
        <v>3.2000520965938715E-2</v>
      </c>
      <c r="O72" s="19">
        <f t="shared" si="10"/>
        <v>-1.7004985336521727E-9</v>
      </c>
      <c r="P72" s="21">
        <f t="shared" si="11"/>
        <v>33.571096819729433</v>
      </c>
      <c r="Q72" s="9">
        <f t="shared" si="22"/>
        <v>0.54764293563979494</v>
      </c>
      <c r="R72" s="9">
        <f t="shared" si="12"/>
        <v>5.794057025930055</v>
      </c>
      <c r="S72" s="6">
        <f t="shared" si="23"/>
        <v>2.4715448013911109E-2</v>
      </c>
      <c r="T72" s="6">
        <f t="shared" si="13"/>
        <v>2.302967093516857E-2</v>
      </c>
      <c r="U72" s="6">
        <f t="shared" si="14"/>
        <v>0.54137481001198395</v>
      </c>
      <c r="V72" s="6">
        <f t="shared" si="15"/>
        <v>4.9234006037104545E-3</v>
      </c>
      <c r="W72" s="6">
        <f t="shared" si="16"/>
        <v>-0.17399307481788692</v>
      </c>
      <c r="X72" s="6">
        <f t="shared" si="17"/>
        <v>-0.16906967421417643</v>
      </c>
      <c r="Y72">
        <f t="shared" si="18"/>
        <v>0.69957582069782842</v>
      </c>
      <c r="AA72" s="43">
        <f t="shared" si="24"/>
        <v>61</v>
      </c>
      <c r="AB72" s="6">
        <f t="shared" si="25"/>
        <v>0.97636922916504942</v>
      </c>
      <c r="AC72" s="6">
        <f>VLOOKUP($C72,'hours (1)'!$A$19:$P$103,16)</f>
        <v>0.12348519058061724</v>
      </c>
      <c r="AD72" s="6">
        <f t="shared" si="26"/>
        <v>0.98811820544381346</v>
      </c>
    </row>
    <row r="73" spans="1:30" x14ac:dyDescent="0.25">
      <c r="A73" s="39">
        <f>'hours (1)'!$A73*'hours (1)'!$B73/'hours (1)'!$A$105</f>
        <v>2.178639158205274E-4</v>
      </c>
      <c r="B73" s="9">
        <f>'hours (3)'!$E73</f>
        <v>60.194425019587612</v>
      </c>
      <c r="C73" s="26">
        <f t="shared" si="19"/>
        <v>62</v>
      </c>
      <c r="D73" s="25">
        <f t="shared" si="2"/>
        <v>0.64120938113902892</v>
      </c>
      <c r="E73" s="25">
        <f t="shared" si="20"/>
        <v>3.3903729073896205E-3</v>
      </c>
      <c r="F73" s="25">
        <f t="shared" si="3"/>
        <v>2.9736796199600984E-3</v>
      </c>
      <c r="G73" s="30">
        <f t="shared" si="4"/>
        <v>8.2152391953983398E-6</v>
      </c>
      <c r="H73" s="9">
        <f>'hours (3)'!$K73</f>
        <v>62.30106796777963</v>
      </c>
      <c r="I73" s="7">
        <f t="shared" si="5"/>
        <v>4.2</v>
      </c>
      <c r="J73" s="9">
        <f t="shared" si="6"/>
        <v>0.13759531043226131</v>
      </c>
      <c r="K73" s="18">
        <f t="shared" si="21"/>
        <v>3.461083486610987E-3</v>
      </c>
      <c r="L73" s="19">
        <f t="shared" si="7"/>
        <v>2.5890090016808531E-4</v>
      </c>
      <c r="M73" s="19">
        <f t="shared" si="8"/>
        <v>5.0027417924898274E-2</v>
      </c>
      <c r="N73" s="19">
        <f t="shared" si="9"/>
        <v>3.2100484349847441E-2</v>
      </c>
      <c r="O73" s="19">
        <f t="shared" si="10"/>
        <v>-3.8513432720765906E-10</v>
      </c>
      <c r="P73" s="21">
        <f t="shared" si="11"/>
        <v>33.609697672672645</v>
      </c>
      <c r="Q73" s="9">
        <f t="shared" si="22"/>
        <v>0.53947225575739155</v>
      </c>
      <c r="R73" s="9">
        <f t="shared" si="12"/>
        <v>5.7973871418659497</v>
      </c>
      <c r="S73" s="6">
        <f t="shared" si="23"/>
        <v>2.4701251048057381E-2</v>
      </c>
      <c r="T73" s="6">
        <f t="shared" si="13"/>
        <v>2.3042532527598535E-2</v>
      </c>
      <c r="U73" s="6">
        <f t="shared" si="14"/>
        <v>0.54060723201862493</v>
      </c>
      <c r="V73" s="6">
        <f t="shared" si="15"/>
        <v>4.8441829413497306E-3</v>
      </c>
      <c r="W73" s="6">
        <f t="shared" si="16"/>
        <v>-0.17276469369347355</v>
      </c>
      <c r="X73" s="6">
        <f t="shared" si="17"/>
        <v>-0.16792051075212397</v>
      </c>
      <c r="Y73">
        <f t="shared" si="18"/>
        <v>0.70133476626865288</v>
      </c>
      <c r="AA73" s="43">
        <f t="shared" si="24"/>
        <v>62</v>
      </c>
      <c r="AB73" s="6">
        <f t="shared" si="25"/>
        <v>0.97651496453296138</v>
      </c>
      <c r="AC73" s="6">
        <f>VLOOKUP($C73,'hours (1)'!$A$19:$P$103,16)</f>
        <v>0.34892609262462937</v>
      </c>
      <c r="AD73" s="6">
        <f t="shared" si="26"/>
        <v>0.98822741657081492</v>
      </c>
    </row>
    <row r="74" spans="1:30" x14ac:dyDescent="0.25">
      <c r="A74" s="39">
        <f>'hours (1)'!$A74*'hours (1)'!$B74/'hours (1)'!$A$105</f>
        <v>2.1367286437780667E-4</v>
      </c>
      <c r="B74" s="9">
        <f>'hours (3)'!$E74</f>
        <v>61.194425019587612</v>
      </c>
      <c r="C74" s="26">
        <f t="shared" si="19"/>
        <v>63</v>
      </c>
      <c r="D74" s="25">
        <f t="shared" si="2"/>
        <v>0.63103145445428244</v>
      </c>
      <c r="E74" s="25">
        <f t="shared" si="20"/>
        <v>3.3358644343867271E-3</v>
      </c>
      <c r="F74" s="25">
        <f t="shared" si="3"/>
        <v>2.9257853261227527E-3</v>
      </c>
      <c r="G74" s="30">
        <f t="shared" si="4"/>
        <v>8.2399979442128687E-6</v>
      </c>
      <c r="H74" s="9">
        <f>'hours (3)'!$K74</f>
        <v>63.30106796777963</v>
      </c>
      <c r="I74" s="7">
        <f t="shared" si="5"/>
        <v>4.2</v>
      </c>
      <c r="J74" s="9">
        <f t="shared" si="6"/>
        <v>0.13538443847586379</v>
      </c>
      <c r="K74" s="18">
        <f t="shared" si="21"/>
        <v>3.405471035901296E-3</v>
      </c>
      <c r="L74" s="19">
        <f t="shared" si="7"/>
        <v>9.9071918928508862E-5</v>
      </c>
      <c r="M74" s="19">
        <f t="shared" si="8"/>
        <v>5.0112145170958057E-2</v>
      </c>
      <c r="N74" s="19">
        <f t="shared" si="9"/>
        <v>3.2197227464678208E-2</v>
      </c>
      <c r="O74" s="19">
        <f t="shared" si="10"/>
        <v>-2.1475640710200139E-11</v>
      </c>
      <c r="P74" s="21">
        <f t="shared" si="11"/>
        <v>33.646875461208019</v>
      </c>
      <c r="Q74" s="9">
        <f t="shared" si="22"/>
        <v>0.53153724797082957</v>
      </c>
      <c r="R74" s="9">
        <f t="shared" si="12"/>
        <v>5.8005926818910511</v>
      </c>
      <c r="S74" s="6">
        <f t="shared" si="23"/>
        <v>2.4687600572451361E-2</v>
      </c>
      <c r="T74" s="6">
        <f t="shared" si="13"/>
        <v>2.3055085693948495E-2</v>
      </c>
      <c r="U74" s="6">
        <f t="shared" si="14"/>
        <v>0.53986739765947966</v>
      </c>
      <c r="V74" s="6">
        <f t="shared" si="15"/>
        <v>4.7674741451792157E-3</v>
      </c>
      <c r="W74" s="6">
        <f t="shared" si="16"/>
        <v>-0.17158243370461732</v>
      </c>
      <c r="X74" s="6">
        <f t="shared" si="17"/>
        <v>-0.16681495955943815</v>
      </c>
      <c r="Y74">
        <f t="shared" si="18"/>
        <v>0.70304190679582235</v>
      </c>
      <c r="AA74" s="43">
        <f t="shared" si="24"/>
        <v>63</v>
      </c>
      <c r="AB74" s="6">
        <f t="shared" si="25"/>
        <v>0.97665579402649594</v>
      </c>
      <c r="AC74" s="6">
        <f>VLOOKUP($C74,'hours (1)'!$A$19:$P$103,16)</f>
        <v>0.70823459370491926</v>
      </c>
      <c r="AD74" s="6">
        <f t="shared" si="26"/>
        <v>0.98844162632039068</v>
      </c>
    </row>
    <row r="75" spans="1:30" x14ac:dyDescent="0.25">
      <c r="A75" s="39">
        <f>'hours (1)'!$A75*'hours (1)'!$B75/'hours (1)'!$A$105</f>
        <v>4.7501736735167989E-4</v>
      </c>
      <c r="B75" s="9">
        <f>'hours (3)'!$E75</f>
        <v>62.194425019587612</v>
      </c>
      <c r="C75" s="26">
        <f t="shared" si="19"/>
        <v>64</v>
      </c>
      <c r="D75" s="25">
        <f t="shared" si="2"/>
        <v>0.6211715879784343</v>
      </c>
      <c r="E75" s="25">
        <f t="shared" si="20"/>
        <v>3.2830810816311074E-3</v>
      </c>
      <c r="F75" s="25">
        <f t="shared" si="3"/>
        <v>2.8794094594337583E-3</v>
      </c>
      <c r="G75" s="30">
        <f t="shared" si="4"/>
        <v>8.2639717486562231E-6</v>
      </c>
      <c r="H75" s="9">
        <f>'hours (3)'!$K75</f>
        <v>64.30106796777963</v>
      </c>
      <c r="I75" s="7">
        <f t="shared" si="5"/>
        <v>4.2</v>
      </c>
      <c r="J75" s="9">
        <f t="shared" si="6"/>
        <v>0.13324349771553759</v>
      </c>
      <c r="K75" s="18">
        <f t="shared" si="21"/>
        <v>3.3516176401125978E-3</v>
      </c>
      <c r="L75" s="19">
        <f t="shared" si="7"/>
        <v>-5.5713485584502065E-5</v>
      </c>
      <c r="M75" s="19">
        <f t="shared" si="8"/>
        <v>5.0194182181877496E-2</v>
      </c>
      <c r="N75" s="19">
        <f t="shared" si="9"/>
        <v>3.2290903463153241E-2</v>
      </c>
      <c r="O75" s="19">
        <f t="shared" si="10"/>
        <v>3.8012926140140735E-12</v>
      </c>
      <c r="P75" s="21">
        <f t="shared" si="11"/>
        <v>33.682707419044419</v>
      </c>
      <c r="Q75" s="9">
        <f t="shared" si="22"/>
        <v>0.52382811800143592</v>
      </c>
      <c r="R75" s="9">
        <f t="shared" si="12"/>
        <v>5.8036805062860255</v>
      </c>
      <c r="S75" s="6">
        <f t="shared" si="23"/>
        <v>2.4674465635885084E-2</v>
      </c>
      <c r="T75" s="6">
        <f t="shared" si="13"/>
        <v>2.3067339369579467E-2</v>
      </c>
      <c r="U75" s="6">
        <f t="shared" si="14"/>
        <v>0.53915384080875284</v>
      </c>
      <c r="V75" s="6">
        <f t="shared" si="15"/>
        <v>4.6931568871789037E-3</v>
      </c>
      <c r="W75" s="6">
        <f t="shared" si="16"/>
        <v>-0.1704437414813674</v>
      </c>
      <c r="X75" s="6">
        <f t="shared" si="17"/>
        <v>-0.16575058459418851</v>
      </c>
      <c r="Y75">
        <f t="shared" si="18"/>
        <v>0.70469944784958594</v>
      </c>
      <c r="AA75" s="43">
        <f t="shared" si="24"/>
        <v>64</v>
      </c>
      <c r="AB75" s="6">
        <f t="shared" si="25"/>
        <v>0.97696433215228062</v>
      </c>
      <c r="AC75" s="6">
        <f>VLOOKUP($C75,'hours (1)'!$A$19:$P$103,16)</f>
        <v>0.37833153561735611</v>
      </c>
      <c r="AD75" s="6">
        <f t="shared" si="26"/>
        <v>0.98869232373792804</v>
      </c>
    </row>
    <row r="76" spans="1:30" x14ac:dyDescent="0.25">
      <c r="A76" s="39">
        <f>'hours (1)'!$A76*'hours (1)'!$B76/'hours (1)'!$A$105</f>
        <v>7.4957717788345229E-3</v>
      </c>
      <c r="B76" s="9">
        <f>'hours (3)'!$E76</f>
        <v>63.194425019587612</v>
      </c>
      <c r="C76" s="26">
        <f t="shared" si="19"/>
        <v>65</v>
      </c>
      <c r="D76" s="25">
        <f t="shared" si="2"/>
        <v>0.61161510200953528</v>
      </c>
      <c r="E76" s="25">
        <f t="shared" si="20"/>
        <v>3.231942221859371E-3</v>
      </c>
      <c r="F76" s="25">
        <f t="shared" si="3"/>
        <v>2.8344809323112116E-3</v>
      </c>
      <c r="G76" s="30">
        <f t="shared" si="4"/>
        <v>8.2871973571475333E-6</v>
      </c>
      <c r="H76" s="9">
        <f>'hours (3)'!$K76</f>
        <v>65.30106796777963</v>
      </c>
      <c r="I76" s="7">
        <f t="shared" si="5"/>
        <v>4.2</v>
      </c>
      <c r="J76" s="9">
        <f t="shared" si="6"/>
        <v>0.13116922156796271</v>
      </c>
      <c r="K76" s="18">
        <f t="shared" si="21"/>
        <v>3.2994411313457756E-3</v>
      </c>
      <c r="L76" s="19">
        <f t="shared" si="7"/>
        <v>-2.0569036264410367E-4</v>
      </c>
      <c r="M76" s="19">
        <f t="shared" si="8"/>
        <v>5.0273655090347959E-2</v>
      </c>
      <c r="N76" s="19">
        <f t="shared" si="9"/>
        <v>3.2381655937202762E-2</v>
      </c>
      <c r="O76" s="19">
        <f t="shared" si="10"/>
        <v>1.9041827836741021E-10</v>
      </c>
      <c r="P76" s="21">
        <f t="shared" si="11"/>
        <v>33.717265293516419</v>
      </c>
      <c r="Q76" s="9">
        <f t="shared" si="22"/>
        <v>0.51633558749993103</v>
      </c>
      <c r="R76" s="9">
        <f t="shared" si="12"/>
        <v>5.8066569808725932</v>
      </c>
      <c r="S76" s="6">
        <f t="shared" si="23"/>
        <v>2.4661817580361178E-2</v>
      </c>
      <c r="T76" s="6">
        <f t="shared" si="13"/>
        <v>2.3079302339821611E-2</v>
      </c>
      <c r="U76" s="6">
        <f t="shared" si="14"/>
        <v>0.53846519607091936</v>
      </c>
      <c r="V76" s="6">
        <f t="shared" si="15"/>
        <v>4.6211210428971855E-3</v>
      </c>
      <c r="W76" s="6">
        <f t="shared" si="16"/>
        <v>-0.16934624891627392</v>
      </c>
      <c r="X76" s="6">
        <f t="shared" si="17"/>
        <v>-0.16472512787337681</v>
      </c>
      <c r="Y76">
        <f t="shared" si="18"/>
        <v>0.70630947529397681</v>
      </c>
      <c r="AA76" s="43">
        <f t="shared" si="24"/>
        <v>65</v>
      </c>
      <c r="AB76" s="6">
        <f t="shared" si="25"/>
        <v>0.98176342283402485</v>
      </c>
      <c r="AC76" s="6">
        <f>VLOOKUP($C76,'hours (1)'!$A$19:$P$103,16)</f>
        <v>0.25995363563680474</v>
      </c>
      <c r="AD76" s="6">
        <f t="shared" si="26"/>
        <v>0.99137163600209655</v>
      </c>
    </row>
    <row r="77" spans="1:30" x14ac:dyDescent="0.25">
      <c r="A77" s="39">
        <f>'hours (1)'!$A77*'hours (1)'!$B77/'hours (1)'!$A$105</f>
        <v>3.5948819798164858E-4</v>
      </c>
      <c r="B77" s="9">
        <f>'hours (3)'!$E77</f>
        <v>64.194425019587612</v>
      </c>
      <c r="C77" s="26">
        <f t="shared" si="19"/>
        <v>66</v>
      </c>
      <c r="D77" s="25">
        <f t="shared" si="2"/>
        <v>0.60234820652454235</v>
      </c>
      <c r="E77" s="25">
        <f t="shared" si="20"/>
        <v>3.1823721755036552E-3</v>
      </c>
      <c r="F77" s="25">
        <f t="shared" si="3"/>
        <v>2.7909330267062256E-3</v>
      </c>
      <c r="G77" s="30">
        <f t="shared" si="4"/>
        <v>8.3097092592946735E-6</v>
      </c>
      <c r="H77" s="9">
        <f>'hours (3)'!$K77</f>
        <v>66.30106796777963</v>
      </c>
      <c r="I77" s="7">
        <f t="shared" si="5"/>
        <v>4.2</v>
      </c>
      <c r="J77" s="9">
        <f t="shared" si="6"/>
        <v>0.12915854379685091</v>
      </c>
      <c r="K77" s="18">
        <f t="shared" si="21"/>
        <v>3.2488643812470372E-3</v>
      </c>
      <c r="L77" s="19">
        <f t="shared" si="7"/>
        <v>-3.5107937795285371E-4</v>
      </c>
      <c r="M77" s="19">
        <f t="shared" si="8"/>
        <v>5.0350682265015392E-2</v>
      </c>
      <c r="N77" s="19">
        <f t="shared" si="9"/>
        <v>3.2469619652606731E-2</v>
      </c>
      <c r="O77" s="19">
        <f t="shared" si="10"/>
        <v>9.4268720607360024E-10</v>
      </c>
      <c r="P77" s="21">
        <f t="shared" si="11"/>
        <v>33.750615823914266</v>
      </c>
      <c r="Q77" s="9">
        <f t="shared" si="22"/>
        <v>0.50905086235286701</v>
      </c>
      <c r="R77" s="9">
        <f t="shared" si="12"/>
        <v>5.8095280207529996</v>
      </c>
      <c r="S77" s="6">
        <f t="shared" si="23"/>
        <v>2.4649629832657134E-2</v>
      </c>
      <c r="T77" s="6">
        <f t="shared" si="13"/>
        <v>2.3090983215792053E-2</v>
      </c>
      <c r="U77" s="6">
        <f t="shared" si="14"/>
        <v>0.53780019034374249</v>
      </c>
      <c r="V77" s="6">
        <f t="shared" si="15"/>
        <v>4.5512631469637431E-3</v>
      </c>
      <c r="W77" s="6">
        <f t="shared" si="16"/>
        <v>-0.16828775664908477</v>
      </c>
      <c r="X77" s="6">
        <f t="shared" si="17"/>
        <v>-0.16373649350212113</v>
      </c>
      <c r="Y77">
        <f t="shared" si="18"/>
        <v>0.70787396294716753</v>
      </c>
      <c r="AA77" s="43">
        <f t="shared" si="24"/>
        <v>66</v>
      </c>
      <c r="AB77" s="6">
        <f t="shared" si="25"/>
        <v>0.98199033425553051</v>
      </c>
      <c r="AC77" s="6">
        <f>VLOOKUP($C77,'hours (1)'!$A$19:$P$103,16)</f>
        <v>0.38790189353632404</v>
      </c>
      <c r="AD77" s="6">
        <f t="shared" si="26"/>
        <v>0.99156067296712103</v>
      </c>
    </row>
    <row r="78" spans="1:30" x14ac:dyDescent="0.25">
      <c r="A78" s="39">
        <f>'hours (1)'!$A78*'hours (1)'!$B78/'hours (1)'!$A$105</f>
        <v>9.2452711386241244E-5</v>
      </c>
      <c r="B78" s="9">
        <f>'hours (3)'!$E78</f>
        <v>65.194425019587612</v>
      </c>
      <c r="C78" s="26">
        <f t="shared" si="19"/>
        <v>67</v>
      </c>
      <c r="D78" s="25">
        <f t="shared" si="2"/>
        <v>0.59335793478537013</v>
      </c>
      <c r="E78" s="25">
        <f t="shared" si="20"/>
        <v>3.1342998368787886E-3</v>
      </c>
      <c r="F78" s="25">
        <f t="shared" si="3"/>
        <v>2.7487030634365446E-3</v>
      </c>
      <c r="G78" s="30">
        <f t="shared" si="4"/>
        <v>8.331539856830816E-6</v>
      </c>
      <c r="H78" s="9">
        <f>'hours (3)'!$K78</f>
        <v>67.30106796777963</v>
      </c>
      <c r="I78" s="7">
        <f t="shared" si="5"/>
        <v>4.2</v>
      </c>
      <c r="J78" s="9">
        <f t="shared" si="6"/>
        <v>0.12720858338394928</v>
      </c>
      <c r="K78" s="18">
        <f t="shared" si="21"/>
        <v>3.1998149204519213E-3</v>
      </c>
      <c r="L78" s="19">
        <f t="shared" si="7"/>
        <v>-4.9208789740344538E-4</v>
      </c>
      <c r="M78" s="19">
        <f t="shared" si="8"/>
        <v>5.0425374898841822E-2</v>
      </c>
      <c r="N78" s="19">
        <f t="shared" si="9"/>
        <v>3.2554921216917762E-2</v>
      </c>
      <c r="O78" s="19">
        <f t="shared" si="10"/>
        <v>2.5847934626010982E-9</v>
      </c>
      <c r="P78" s="21">
        <f t="shared" si="11"/>
        <v>33.78282117066675</v>
      </c>
      <c r="Q78" s="9">
        <f t="shared" si="22"/>
        <v>0.50196560308434135</v>
      </c>
      <c r="R78" s="9">
        <f t="shared" si="12"/>
        <v>5.812299129489702</v>
      </c>
      <c r="S78" s="6">
        <f t="shared" si="23"/>
        <v>2.4637877718207413E-2</v>
      </c>
      <c r="T78" s="6">
        <f t="shared" si="13"/>
        <v>2.3102390416104044E-2</v>
      </c>
      <c r="U78" s="6">
        <f t="shared" si="14"/>
        <v>0.5371576352083357</v>
      </c>
      <c r="V78" s="6">
        <f t="shared" si="15"/>
        <v>4.4834858972503952E-3</v>
      </c>
      <c r="W78" s="6">
        <f t="shared" si="16"/>
        <v>-0.16726621928802438</v>
      </c>
      <c r="X78" s="6">
        <f t="shared" si="17"/>
        <v>-0.16278273339077395</v>
      </c>
      <c r="Y78">
        <f t="shared" si="18"/>
        <v>0.70939477970123821</v>
      </c>
      <c r="AA78" s="43">
        <f t="shared" si="24"/>
        <v>67</v>
      </c>
      <c r="AB78" s="6">
        <f t="shared" si="25"/>
        <v>0.98204787879949795</v>
      </c>
      <c r="AC78" s="6">
        <f>VLOOKUP($C78,'hours (1)'!$A$19:$P$103,16)</f>
        <v>0.49123737802944023</v>
      </c>
      <c r="AD78" s="6">
        <f t="shared" si="26"/>
        <v>0.99162138349895279</v>
      </c>
    </row>
    <row r="79" spans="1:30" x14ac:dyDescent="0.25">
      <c r="A79" s="39">
        <f>'hours (1)'!$A79*'hours (1)'!$B79/'hours (1)'!$A$105</f>
        <v>4.8207614243105362E-4</v>
      </c>
      <c r="B79" s="9">
        <f>'hours (3)'!$E79</f>
        <v>66.194425019587612</v>
      </c>
      <c r="C79" s="26">
        <f t="shared" si="19"/>
        <v>68</v>
      </c>
      <c r="D79" s="25">
        <f t="shared" si="2"/>
        <v>0.58463208280323231</v>
      </c>
      <c r="E79" s="25">
        <f t="shared" si="20"/>
        <v>3.0876583337580538E-3</v>
      </c>
      <c r="F79" s="25">
        <f t="shared" si="3"/>
        <v>2.7077321011017255E-3</v>
      </c>
      <c r="G79" s="30">
        <f t="shared" si="4"/>
        <v>8.3527196192589344E-6</v>
      </c>
      <c r="H79" s="9">
        <f>'hours (3)'!$K79</f>
        <v>68.30106796777963</v>
      </c>
      <c r="I79" s="7">
        <f t="shared" si="5"/>
        <v>4.2</v>
      </c>
      <c r="J79" s="9">
        <f t="shared" si="6"/>
        <v>0.1253166307506956</v>
      </c>
      <c r="K79" s="18">
        <f t="shared" si="21"/>
        <v>3.1522245920037133E-3</v>
      </c>
      <c r="L79" s="19">
        <f t="shared" si="7"/>
        <v>-6.2891097429351728E-4</v>
      </c>
      <c r="M79" s="19">
        <f t="shared" si="8"/>
        <v>5.049783754476151E-2</v>
      </c>
      <c r="N79" s="19">
        <f t="shared" si="9"/>
        <v>3.263767968763133E-2</v>
      </c>
      <c r="O79" s="19">
        <f t="shared" si="10"/>
        <v>5.3736555483130388E-9</v>
      </c>
      <c r="P79" s="21">
        <f t="shared" si="11"/>
        <v>33.813939301163202</v>
      </c>
      <c r="Q79" s="9">
        <f t="shared" si="22"/>
        <v>0.49507189722296291</v>
      </c>
      <c r="R79" s="9">
        <f t="shared" si="12"/>
        <v>5.814975434269968</v>
      </c>
      <c r="S79" s="6">
        <f t="shared" si="23"/>
        <v>2.4626538294566132E-2</v>
      </c>
      <c r="T79" s="6">
        <f t="shared" si="13"/>
        <v>2.3113532153413684E-2</v>
      </c>
      <c r="U79" s="6">
        <f t="shared" si="14"/>
        <v>0.53653642005403968</v>
      </c>
      <c r="V79" s="6">
        <f t="shared" si="15"/>
        <v>4.4176977026891212E-3</v>
      </c>
      <c r="W79" s="6">
        <f t="shared" si="16"/>
        <v>-0.16627973215826428</v>
      </c>
      <c r="X79" s="6">
        <f t="shared" si="17"/>
        <v>-0.16186203445557507</v>
      </c>
      <c r="Y79">
        <f t="shared" si="18"/>
        <v>0.71087369613984619</v>
      </c>
      <c r="AA79" s="43">
        <f t="shared" si="24"/>
        <v>68</v>
      </c>
      <c r="AB79" s="6">
        <f t="shared" si="25"/>
        <v>0.98234381252082581</v>
      </c>
      <c r="AC79" s="6">
        <f>VLOOKUP($C79,'hours (1)'!$A$19:$P$103,16)</f>
        <v>0.3532285309144646</v>
      </c>
      <c r="AD79" s="6">
        <f t="shared" si="26"/>
        <v>0.99184588472155977</v>
      </c>
    </row>
    <row r="80" spans="1:30" x14ac:dyDescent="0.25">
      <c r="A80" s="39">
        <f>'hours (1)'!$A80*'hours (1)'!$B80/'hours (1)'!$A$105</f>
        <v>1.0059081358829145E-4</v>
      </c>
      <c r="B80" s="9">
        <f>'hours (3)'!$E80</f>
        <v>67.194425019587612</v>
      </c>
      <c r="C80" s="26">
        <f t="shared" si="19"/>
        <v>69</v>
      </c>
      <c r="D80" s="25">
        <f t="shared" si="2"/>
        <v>0.5761591540669535</v>
      </c>
      <c r="E80" s="25">
        <f t="shared" si="20"/>
        <v>3.0423847169100703E-3</v>
      </c>
      <c r="F80" s="25">
        <f t="shared" si="3"/>
        <v>2.6679646615386161E-3</v>
      </c>
      <c r="G80" s="30">
        <f t="shared" si="4"/>
        <v>8.3732772257763987E-6</v>
      </c>
      <c r="H80" s="9">
        <f>'hours (3)'!$K80</f>
        <v>69.30106796777963</v>
      </c>
      <c r="I80" s="7">
        <f t="shared" si="5"/>
        <v>4.2</v>
      </c>
      <c r="J80" s="9">
        <f t="shared" si="6"/>
        <v>0.12348013519190676</v>
      </c>
      <c r="K80" s="18">
        <f t="shared" si="21"/>
        <v>3.1060292352594319E-3</v>
      </c>
      <c r="L80" s="19">
        <f t="shared" si="7"/>
        <v>-7.6173224988550226E-4</v>
      </c>
      <c r="M80" s="19">
        <f t="shared" si="8"/>
        <v>5.0568168604056246E-2</v>
      </c>
      <c r="N80" s="19">
        <f t="shared" si="9"/>
        <v>3.2718007126746412E-2</v>
      </c>
      <c r="O80" s="19">
        <f t="shared" si="10"/>
        <v>9.509758827630499E-9</v>
      </c>
      <c r="P80" s="21">
        <f t="shared" si="11"/>
        <v>33.844024337237535</v>
      </c>
      <c r="Q80" s="9">
        <f t="shared" si="22"/>
        <v>0.4883622335080427</v>
      </c>
      <c r="R80" s="9">
        <f t="shared" si="12"/>
        <v>5.8175617175271581</v>
      </c>
      <c r="S80" s="6">
        <f t="shared" si="23"/>
        <v>2.4615590202089192E-2</v>
      </c>
      <c r="T80" s="6">
        <f t="shared" si="13"/>
        <v>2.3124416424932286E-2</v>
      </c>
      <c r="U80" s="6">
        <f t="shared" si="14"/>
        <v>0.53593550585734373</v>
      </c>
      <c r="V80" s="6">
        <f t="shared" si="15"/>
        <v>4.3538122703239476E-3</v>
      </c>
      <c r="W80" s="6">
        <f t="shared" si="16"/>
        <v>-0.16532651939651072</v>
      </c>
      <c r="X80" s="6">
        <f t="shared" si="17"/>
        <v>-0.16097270712618678</v>
      </c>
      <c r="Y80">
        <f t="shared" si="18"/>
        <v>0.71231239069008534</v>
      </c>
      <c r="AA80" s="43">
        <f t="shared" si="24"/>
        <v>69</v>
      </c>
      <c r="AB80" s="6">
        <f t="shared" si="25"/>
        <v>0.98240472565333492</v>
      </c>
      <c r="AC80" s="6">
        <f>VLOOKUP($C80,'hours (1)'!$A$19:$P$103,16)</f>
        <v>0</v>
      </c>
      <c r="AD80" s="6">
        <f t="shared" si="26"/>
        <v>0.99184588472155977</v>
      </c>
    </row>
    <row r="81" spans="1:30" x14ac:dyDescent="0.25">
      <c r="A81" s="39">
        <f>'hours (1)'!$A81*'hours (1)'!$B81/'hours (1)'!$A$105</f>
        <v>1.2199517824626339E-2</v>
      </c>
      <c r="B81" s="9">
        <f>'hours (3)'!$E81</f>
        <v>68.194425019587612</v>
      </c>
      <c r="C81" s="26">
        <f t="shared" si="19"/>
        <v>70</v>
      </c>
      <c r="D81" s="25">
        <f t="shared" si="2"/>
        <v>0.56792830900885427</v>
      </c>
      <c r="E81" s="25">
        <f t="shared" si="20"/>
        <v>2.9984196765637486E-3</v>
      </c>
      <c r="F81" s="25">
        <f t="shared" si="3"/>
        <v>2.629348479126172E-3</v>
      </c>
      <c r="G81" s="30">
        <f t="shared" si="4"/>
        <v>8.3932396948707928E-6</v>
      </c>
      <c r="H81" s="9">
        <f>'hours (3)'!$K81</f>
        <v>70.30106796777963</v>
      </c>
      <c r="I81" s="7">
        <f t="shared" si="5"/>
        <v>4.2</v>
      </c>
      <c r="J81" s="9">
        <f t="shared" si="6"/>
        <v>0.12169669339888727</v>
      </c>
      <c r="K81" s="18">
        <f t="shared" si="21"/>
        <v>3.0611683971991806E-3</v>
      </c>
      <c r="L81" s="19">
        <f t="shared" si="7"/>
        <v>-8.9072477605671441E-4</v>
      </c>
      <c r="M81" s="19">
        <f t="shared" si="8"/>
        <v>5.0636460772251021E-2</v>
      </c>
      <c r="N81" s="19">
        <f t="shared" si="9"/>
        <v>3.2796009107152267E-2</v>
      </c>
      <c r="O81" s="19">
        <f t="shared" si="10"/>
        <v>1.5146292803303041E-8</v>
      </c>
      <c r="P81" s="21">
        <f t="shared" si="11"/>
        <v>33.873126868682469</v>
      </c>
      <c r="Q81" s="9">
        <f t="shared" si="22"/>
        <v>0.48182947781400975</v>
      </c>
      <c r="R81" s="9">
        <f t="shared" si="12"/>
        <v>5.8200624454280963</v>
      </c>
      <c r="S81" s="6">
        <f t="shared" si="23"/>
        <v>2.4605013529795106E-2</v>
      </c>
      <c r="T81" s="6">
        <f t="shared" si="13"/>
        <v>2.3135051006183315E-2</v>
      </c>
      <c r="U81" s="6">
        <f t="shared" si="14"/>
        <v>0.53535391954397327</v>
      </c>
      <c r="V81" s="6">
        <f t="shared" si="15"/>
        <v>4.2917482276820587E-3</v>
      </c>
      <c r="W81" s="6">
        <f t="shared" si="16"/>
        <v>-0.16440492323480005</v>
      </c>
      <c r="X81" s="6">
        <f t="shared" si="17"/>
        <v>-0.16011317500711783</v>
      </c>
      <c r="Y81">
        <f t="shared" si="18"/>
        <v>0.71371245534259697</v>
      </c>
      <c r="AA81" s="43">
        <f t="shared" si="24"/>
        <v>70</v>
      </c>
      <c r="AB81" s="6">
        <f t="shared" si="25"/>
        <v>0.98969336689344645</v>
      </c>
      <c r="AC81" s="6">
        <f>VLOOKUP($C81,'hours (1)'!$A$19:$P$103,16)</f>
        <v>0.19788836524095066</v>
      </c>
      <c r="AD81" s="6">
        <f t="shared" si="26"/>
        <v>0.99494355589887429</v>
      </c>
    </row>
    <row r="82" spans="1:30" x14ac:dyDescent="0.25">
      <c r="A82" s="39">
        <f>'hours (1)'!$A82*'hours (1)'!$B82/'hours (1)'!$A$105</f>
        <v>6.2031621566778031E-5</v>
      </c>
      <c r="B82" s="9">
        <f>'hours (3)'!$E82</f>
        <v>69.194425019587612</v>
      </c>
      <c r="C82" s="26">
        <f t="shared" si="19"/>
        <v>71</v>
      </c>
      <c r="D82" s="25">
        <f t="shared" si="2"/>
        <v>0.55992931874112384</v>
      </c>
      <c r="E82" s="25">
        <f t="shared" si="20"/>
        <v>2.9557072831157519E-3</v>
      </c>
      <c r="F82" s="25">
        <f t="shared" si="3"/>
        <v>2.591834271557578E-3</v>
      </c>
      <c r="G82" s="30">
        <f t="shared" si="4"/>
        <v>8.4126325028182568E-6</v>
      </c>
      <c r="H82" s="9">
        <f>'hours (3)'!$K82</f>
        <v>71.30106796777963</v>
      </c>
      <c r="I82" s="7">
        <f t="shared" si="5"/>
        <v>4.2</v>
      </c>
      <c r="J82" s="9">
        <f t="shared" si="6"/>
        <v>0.11996403896334765</v>
      </c>
      <c r="K82" s="18">
        <f t="shared" si="21"/>
        <v>3.0175850684068689E-3</v>
      </c>
      <c r="L82" s="19">
        <f t="shared" si="7"/>
        <v>-1.0160517677928194E-3</v>
      </c>
      <c r="M82" s="19">
        <f t="shared" si="8"/>
        <v>5.0702801446777433E-2</v>
      </c>
      <c r="N82" s="19">
        <f t="shared" si="9"/>
        <v>3.2871785175652604E-2</v>
      </c>
      <c r="O82" s="19">
        <f t="shared" si="10"/>
        <v>2.2396865764773288E-8</v>
      </c>
      <c r="P82" s="21">
        <f t="shared" si="11"/>
        <v>33.901294236603462</v>
      </c>
      <c r="Q82" s="9">
        <f t="shared" si="22"/>
        <v>0.47546685067779321</v>
      </c>
      <c r="R82" s="9">
        <f t="shared" si="12"/>
        <v>5.8224817935828241</v>
      </c>
      <c r="S82" s="6">
        <f t="shared" si="23"/>
        <v>2.4594789694634987E-2</v>
      </c>
      <c r="T82" s="6">
        <f t="shared" si="13"/>
        <v>2.3145443447405985E-2</v>
      </c>
      <c r="U82" s="6">
        <f t="shared" si="14"/>
        <v>0.53479074887184108</v>
      </c>
      <c r="V82" s="6">
        <f t="shared" si="15"/>
        <v>4.2314287769913252E-3</v>
      </c>
      <c r="W82" s="6">
        <f t="shared" si="16"/>
        <v>-0.16351339433714104</v>
      </c>
      <c r="X82" s="6">
        <f t="shared" si="17"/>
        <v>-0.15928196556014976</v>
      </c>
      <c r="Y82">
        <f t="shared" si="18"/>
        <v>0.71507540097174116</v>
      </c>
      <c r="AA82" s="43">
        <f t="shared" si="24"/>
        <v>71</v>
      </c>
      <c r="AB82" s="6">
        <f t="shared" si="25"/>
        <v>0.98972993848996249</v>
      </c>
      <c r="AC82" s="6">
        <f>VLOOKUP($C82,'hours (1)'!$A$19:$P$103,16)</f>
        <v>9.2029363495985547E-2</v>
      </c>
      <c r="AD82" s="6">
        <f t="shared" si="26"/>
        <v>0.99495078424296357</v>
      </c>
    </row>
    <row r="83" spans="1:30" x14ac:dyDescent="0.25">
      <c r="A83" s="39">
        <f>'hours (1)'!$A83*'hours (1)'!$B83/'hours (1)'!$A$105</f>
        <v>2.2022461679981971E-3</v>
      </c>
      <c r="B83" s="9">
        <f>'hours (3)'!$E83</f>
        <v>70.194425019587612</v>
      </c>
      <c r="C83" s="26">
        <f t="shared" si="19"/>
        <v>72</v>
      </c>
      <c r="D83" s="25">
        <f t="shared" ref="D83:D103" si="27">$B$15/$C83</f>
        <v>0.55215252264749715</v>
      </c>
      <c r="E83" s="25">
        <f t="shared" si="20"/>
        <v>2.9141947496957935E-3</v>
      </c>
      <c r="F83" s="25">
        <f t="shared" ref="F83:F103" si="28">(((1-$B$16)*$B$4*$B$9+$B$11)/$C83+($B83/$C83-1+LN($C83/$B83))/$B$5)*$B$8</f>
        <v>2.5553755299648163E-3</v>
      </c>
      <c r="G83" s="30">
        <f t="shared" ref="G83:G103" si="29">((1-$B$16)*$B$8-$F83)*$F$5/($F$14*$B$15^(1/$B$6))</f>
        <v>8.4314796921776941E-6</v>
      </c>
      <c r="H83" s="9">
        <f>'hours (3)'!$K83</f>
        <v>72.30106796777963</v>
      </c>
      <c r="I83" s="7">
        <f t="shared" ref="I83:I103" si="30">IF($H83&gt;$B$14,1,0)*$B$13</f>
        <v>4.2</v>
      </c>
      <c r="J83" s="9">
        <f t="shared" ref="J83:J103" si="31">(1-$B$16-$B$12)*($B$4*$B$9+$I83)/$H83+$B$11/$H83+($B83/$H83-1+LN($H83/$B83))/$B$5</f>
        <v>0.11828003276569775</v>
      </c>
      <c r="K83" s="18">
        <f t="shared" si="21"/>
        <v>2.9752254412965685E-3</v>
      </c>
      <c r="L83" s="19">
        <f t="shared" ref="L83:L103" si="32">$G83*($L$17^(($B$7+$B$6)/$B$6))+($K83*$L$17)-(1-$B$16-$B$12)*$B$8*(($F$4/$B$8)^(1/$B$7))</f>
        <v>-1.1378672924077515E-3</v>
      </c>
      <c r="M83" s="19">
        <f t="shared" si="8"/>
        <v>5.0767273100176272E-2</v>
      </c>
      <c r="N83" s="19">
        <f t="shared" si="9"/>
        <v>3.2945429276899238E-2</v>
      </c>
      <c r="O83" s="19">
        <f t="shared" ref="O83:O103" si="33">$G83*(P83^(1/$B$7+1/$B$6))+($K83*P83^(1/$B$7))-(1-$B$16-$B$12)*$B$8*(($F$4/$B$8)^(1/$B$7))</f>
        <v>3.1342023476543801E-8</v>
      </c>
      <c r="P83" s="21">
        <f t="shared" ref="P83:P103" si="34">($L$17-(M83/N83)*(1-SQRT(1-2*L83*N83/(M83^2))))^$B$7</f>
        <v>33.928570789941737</v>
      </c>
      <c r="Q83" s="9">
        <f t="shared" si="22"/>
        <v>0.46926790632002452</v>
      </c>
      <c r="R83" s="9">
        <f t="shared" ref="R83:R103" si="35">$P83^(($B$7-1)/$B$7)</f>
        <v>5.8248236702875165</v>
      </c>
      <c r="S83" s="6">
        <f t="shared" si="23"/>
        <v>2.458490133263418E-2</v>
      </c>
      <c r="T83" s="6">
        <f t="shared" ref="T83:T103" si="36">S83-($B$4*$B$9*$B$8/$H83)</f>
        <v>2.3155601072110035E-2</v>
      </c>
      <c r="U83" s="6">
        <f t="shared" ref="U83:U103" si="37">$B$6*T83/(T83-$B$8*$B$11/$H83-($B83/$H83-1+LN($H83/$B83))*$B$8/$B$5)</f>
        <v>0.53424513777998195</v>
      </c>
      <c r="V83" s="6">
        <f t="shared" ref="V83:V103" si="38">LN(H83/C83)</f>
        <v>4.1727813781526936E-3</v>
      </c>
      <c r="W83" s="6">
        <f t="shared" ref="W83:W103" si="39">LN(Q83/D83)</f>
        <v>-0.162650483070229</v>
      </c>
      <c r="X83" s="6">
        <f t="shared" ref="X83:X103" si="40">LN(P83/$B$15)</f>
        <v>-0.15847770169207634</v>
      </c>
      <c r="Y83">
        <f t="shared" ref="Y83:Y103" si="41">$G$4-($B$4*$B$9+$B$11+($B83-$H83+$H83*LN($H83/$B83))/$B$5)*$B$8*$Q83</f>
        <v>0.71640266228547511</v>
      </c>
      <c r="AA83" s="43">
        <f t="shared" si="24"/>
        <v>72</v>
      </c>
      <c r="AB83" s="6">
        <f t="shared" si="25"/>
        <v>0.99101137548629281</v>
      </c>
      <c r="AC83" s="6">
        <f>VLOOKUP($C83,'hours (1)'!$A$19:$P$103,16)</f>
        <v>0.14716606785038841</v>
      </c>
      <c r="AD83" s="6">
        <f t="shared" si="26"/>
        <v>0.99535580140330915</v>
      </c>
    </row>
    <row r="84" spans="1:30" x14ac:dyDescent="0.25">
      <c r="A84" s="39">
        <f>'hours (1)'!$A84*'hours (1)'!$B84/'hours (1)'!$A$105</f>
        <v>4.7034308094518462E-5</v>
      </c>
      <c r="B84" s="9">
        <f>'hours (3)'!$E84</f>
        <v>71.194425019587612</v>
      </c>
      <c r="C84" s="26">
        <f t="shared" ref="C84:C103" si="42">$B$5*($B$4*$B$9*(1-$B$16)+$B$11)+$B84</f>
        <v>73</v>
      </c>
      <c r="D84" s="25">
        <f t="shared" si="27"/>
        <v>0.54458878946054512</v>
      </c>
      <c r="E84" s="25">
        <f t="shared" ref="E84:E103" si="43">(($B$4*$B$9+$B$11)/$C84+($B84/$C84-1+LN($C84/$B84))/$B$5)*$B$8</f>
        <v>2.873832214469733E-3</v>
      </c>
      <c r="F84" s="25">
        <f t="shared" si="28"/>
        <v>2.5199283265158927E-3</v>
      </c>
      <c r="G84" s="30">
        <f t="shared" si="29"/>
        <v>8.4498039712525684E-6</v>
      </c>
      <c r="H84" s="9">
        <f>'hours (3)'!$K84</f>
        <v>73.30106796777963</v>
      </c>
      <c r="I84" s="7">
        <f t="shared" si="30"/>
        <v>4.2</v>
      </c>
      <c r="J84" s="9">
        <f t="shared" si="31"/>
        <v>0.11664265416198159</v>
      </c>
      <c r="K84" s="18">
        <f t="shared" ref="K84:K103" si="44">J84*$B$8</f>
        <v>2.934038688427966E-3</v>
      </c>
      <c r="L84" s="19">
        <f t="shared" si="32"/>
        <v>-1.2563169016116676E-3</v>
      </c>
      <c r="M84" s="19">
        <f t="shared" ref="M84:M103" si="45">$G84*($B$7+$B$6)*($L$17^($B$7/$B$6))/$B$6+$K84</f>
        <v>5.0829953622191046E-2</v>
      </c>
      <c r="N84" s="19">
        <f t="shared" ref="N84:N103" si="46">$G84*($B$7+$B$6)*$B$7*($L$17^($B$7/$B$6-1))/($B$6^2)</f>
        <v>3.3017030142032264E-2</v>
      </c>
      <c r="O84" s="19">
        <f t="shared" si="33"/>
        <v>4.2034761865705761E-8</v>
      </c>
      <c r="P84" s="21">
        <f t="shared" si="34"/>
        <v>33.954998118082301</v>
      </c>
      <c r="Q84" s="9">
        <f t="shared" ref="Q84:Q103" si="47">$P84/$H84</f>
        <v>0.46322651305718532</v>
      </c>
      <c r="R84" s="9">
        <f t="shared" si="35"/>
        <v>5.8270917375722089</v>
      </c>
      <c r="S84" s="6">
        <f t="shared" ref="S84:S103" si="48">$B$8*($G$4/($B$8*$P84))^(1/$B$7)</f>
        <v>2.4575332200566052E-2</v>
      </c>
      <c r="T84" s="6">
        <f t="shared" si="36"/>
        <v>2.3165530977370424E-2</v>
      </c>
      <c r="U84" s="6">
        <f t="shared" si="37"/>
        <v>0.53371628215505118</v>
      </c>
      <c r="V84" s="6">
        <f t="shared" si="38"/>
        <v>4.1157374577160816E-3</v>
      </c>
      <c r="W84" s="6">
        <f t="shared" si="39"/>
        <v>-0.16181483160452761</v>
      </c>
      <c r="X84" s="6">
        <f t="shared" si="40"/>
        <v>-0.15769909414681144</v>
      </c>
      <c r="Y84">
        <f t="shared" si="41"/>
        <v>0.71769560243248021</v>
      </c>
      <c r="AA84" s="43">
        <f t="shared" ref="AA84:AA103" si="49">ROUND($H84,0)</f>
        <v>73</v>
      </c>
      <c r="AB84" s="6">
        <f t="shared" si="25"/>
        <v>0.99103839134088689</v>
      </c>
      <c r="AC84" s="6">
        <f>VLOOKUP($C84,'hours (1)'!$A$19:$P$103,16)</f>
        <v>0.79661529955454524</v>
      </c>
      <c r="AD84" s="6">
        <f t="shared" si="26"/>
        <v>0.99540202203038375</v>
      </c>
    </row>
    <row r="85" spans="1:30" x14ac:dyDescent="0.25">
      <c r="A85" s="39">
        <f>'hours (1)'!$A85*'hours (1)'!$B85/'hours (1)'!$A$105</f>
        <v>1.7375672303408316E-4</v>
      </c>
      <c r="B85" s="9">
        <f>'hours (3)'!$E85</f>
        <v>72.194425019587612</v>
      </c>
      <c r="C85" s="26">
        <f t="shared" si="42"/>
        <v>74</v>
      </c>
      <c r="D85" s="25">
        <f t="shared" si="27"/>
        <v>0.53722948149486205</v>
      </c>
      <c r="E85" s="25">
        <f t="shared" si="43"/>
        <v>2.8345725407922817E-3</v>
      </c>
      <c r="F85" s="25">
        <f t="shared" si="28"/>
        <v>2.4854511378107906E-3</v>
      </c>
      <c r="G85" s="30">
        <f t="shared" si="29"/>
        <v>8.4676268053855802E-6</v>
      </c>
      <c r="H85" s="9">
        <f>'hours (3)'!$K85</f>
        <v>74.30106796777963</v>
      </c>
      <c r="I85" s="7">
        <f t="shared" si="30"/>
        <v>4.2</v>
      </c>
      <c r="J85" s="9">
        <f t="shared" si="31"/>
        <v>0.1150499928930946</v>
      </c>
      <c r="K85" s="18">
        <f t="shared" si="44"/>
        <v>2.8939767589901645E-3</v>
      </c>
      <c r="L85" s="19">
        <f t="shared" si="32"/>
        <v>-1.3715382118800329E-3</v>
      </c>
      <c r="M85" s="19">
        <f t="shared" si="45"/>
        <v>5.0890916633736197E-2</v>
      </c>
      <c r="N85" s="19">
        <f t="shared" si="46"/>
        <v>3.3086671645407739E-2</v>
      </c>
      <c r="O85" s="19">
        <f t="shared" si="33"/>
        <v>5.4505189819864519E-8</v>
      </c>
      <c r="P85" s="21">
        <f t="shared" si="34"/>
        <v>33.98061526210639</v>
      </c>
      <c r="Q85" s="9">
        <f t="shared" si="47"/>
        <v>0.45733683500810451</v>
      </c>
      <c r="R85" s="9">
        <f t="shared" si="35"/>
        <v>5.8292894302913449</v>
      </c>
      <c r="S85" s="6">
        <f t="shared" si="48"/>
        <v>2.4566067086988594E-2</v>
      </c>
      <c r="T85" s="6">
        <f t="shared" si="36"/>
        <v>2.3175240035520985E-2</v>
      </c>
      <c r="U85" s="6">
        <f t="shared" si="37"/>
        <v>0.53320342597259729</v>
      </c>
      <c r="V85" s="6">
        <f t="shared" si="38"/>
        <v>4.0602321414059204E-3</v>
      </c>
      <c r="W85" s="6">
        <f t="shared" si="39"/>
        <v>-0.16100516675498733</v>
      </c>
      <c r="X85" s="6">
        <f t="shared" si="40"/>
        <v>-0.15694493461358136</v>
      </c>
      <c r="Y85">
        <f t="shared" si="41"/>
        <v>0.71895551729206741</v>
      </c>
      <c r="AA85" s="43">
        <f t="shared" si="49"/>
        <v>74</v>
      </c>
      <c r="AB85" s="6">
        <f t="shared" ref="AB85:AB103" si="50">$Q85*$A85/$Q$16+AB84</f>
        <v>0.99113692584635826</v>
      </c>
      <c r="AC85" s="6">
        <f>VLOOKUP($C85,'hours (1)'!$A$19:$P$103,16)</f>
        <v>0.36023021330378235</v>
      </c>
      <c r="AD85" s="6">
        <f t="shared" ref="AD85:AD103" si="51">$Q85*$A85*AC85/$Q$17+AD84</f>
        <v>0.99547825396764866</v>
      </c>
    </row>
    <row r="86" spans="1:30" x14ac:dyDescent="0.25">
      <c r="A86" s="39">
        <f>'hours (1)'!$A86*'hours (1)'!$B86/'hours (1)'!$A$105</f>
        <v>1.7556794325002622E-3</v>
      </c>
      <c r="B86" s="9">
        <f>'hours (3)'!$E86</f>
        <v>73.194425019587612</v>
      </c>
      <c r="C86" s="26">
        <f t="shared" si="42"/>
        <v>75</v>
      </c>
      <c r="D86" s="25">
        <f t="shared" si="27"/>
        <v>0.53006642174159724</v>
      </c>
      <c r="E86" s="25">
        <f t="shared" si="43"/>
        <v>2.796371133524917E-3</v>
      </c>
      <c r="F86" s="25">
        <f t="shared" si="28"/>
        <v>2.4519046825831792E-3</v>
      </c>
      <c r="G86" s="30">
        <f t="shared" si="29"/>
        <v>8.4849685008580932E-6</v>
      </c>
      <c r="H86" s="9">
        <f>'hours (3)'!$K86</f>
        <v>75.30106796777963</v>
      </c>
      <c r="I86" s="7">
        <f t="shared" si="30"/>
        <v>4.2</v>
      </c>
      <c r="J86" s="9">
        <f t="shared" si="31"/>
        <v>0.11350024164812873</v>
      </c>
      <c r="K86" s="18">
        <f t="shared" si="44"/>
        <v>2.8549941917394672E-3</v>
      </c>
      <c r="L86" s="19">
        <f t="shared" si="32"/>
        <v>-1.4836614379943464E-3</v>
      </c>
      <c r="M86" s="19">
        <f t="shared" si="45"/>
        <v>5.0950231775400937E-2</v>
      </c>
      <c r="N86" s="19">
        <f t="shared" si="46"/>
        <v>3.3154433132428961E-2</v>
      </c>
      <c r="O86" s="19">
        <f t="shared" si="33"/>
        <v>6.8764476959803922E-8</v>
      </c>
      <c r="P86" s="21">
        <f t="shared" si="34"/>
        <v>34.005458906940689</v>
      </c>
      <c r="Q86" s="9">
        <f t="shared" si="47"/>
        <v>0.45159331500439265</v>
      </c>
      <c r="R86" s="9">
        <f t="shared" si="35"/>
        <v>5.8314199734662129</v>
      </c>
      <c r="S86" s="6">
        <f t="shared" si="48"/>
        <v>2.4557091731619973E-2</v>
      </c>
      <c r="T86" s="6">
        <f t="shared" si="36"/>
        <v>2.3184734896963401E-2</v>
      </c>
      <c r="U86" s="6">
        <f t="shared" si="37"/>
        <v>0.53270585777520085</v>
      </c>
      <c r="V86" s="6">
        <f t="shared" si="38"/>
        <v>4.0062040080008268E-3</v>
      </c>
      <c r="W86" s="6">
        <f t="shared" si="39"/>
        <v>-0.16022029348178657</v>
      </c>
      <c r="X86" s="6">
        <f t="shared" si="40"/>
        <v>-0.15621408947378573</v>
      </c>
      <c r="Y86">
        <f t="shared" si="41"/>
        <v>0.72018363947052078</v>
      </c>
      <c r="AA86" s="43">
        <f t="shared" si="49"/>
        <v>75</v>
      </c>
      <c r="AB86" s="6">
        <f t="shared" si="50"/>
        <v>0.99212003845896823</v>
      </c>
      <c r="AC86" s="6">
        <f>VLOOKUP($C86,'hours (1)'!$A$19:$P$103,16)</f>
        <v>0.31945577165479933</v>
      </c>
      <c r="AD86" s="6">
        <f t="shared" si="51"/>
        <v>0.99615275479517218</v>
      </c>
    </row>
    <row r="87" spans="1:30" x14ac:dyDescent="0.25">
      <c r="A87" s="39">
        <f>'hours (1)'!$A87*'hours (1)'!$B87/'hours (1)'!$A$105</f>
        <v>1.5110147583296491E-4</v>
      </c>
      <c r="B87" s="9">
        <f>'hours (3)'!$E87</f>
        <v>74.194425019587612</v>
      </c>
      <c r="C87" s="26">
        <f t="shared" si="42"/>
        <v>76</v>
      </c>
      <c r="D87" s="25">
        <f t="shared" si="27"/>
        <v>0.52309186356078674</v>
      </c>
      <c r="E87" s="25">
        <f t="shared" si="43"/>
        <v>2.7591857700135954E-3</v>
      </c>
      <c r="F87" s="25">
        <f t="shared" si="28"/>
        <v>2.4192517723737221E-3</v>
      </c>
      <c r="G87" s="30">
        <f t="shared" si="29"/>
        <v>8.5018482820839114E-6</v>
      </c>
      <c r="H87" s="9">
        <f>'hours (3)'!$K87</f>
        <v>76.30106796777963</v>
      </c>
      <c r="I87" s="7">
        <f t="shared" si="30"/>
        <v>4.2</v>
      </c>
      <c r="J87" s="9">
        <f t="shared" si="31"/>
        <v>0.11199168922098657</v>
      </c>
      <c r="K87" s="18">
        <f t="shared" si="44"/>
        <v>2.8170479428603016E-3</v>
      </c>
      <c r="L87" s="19">
        <f t="shared" si="32"/>
        <v>-1.5928098841007793E-3</v>
      </c>
      <c r="M87" s="19">
        <f t="shared" si="45"/>
        <v>5.1007964972866665E-2</v>
      </c>
      <c r="N87" s="19">
        <f t="shared" si="46"/>
        <v>3.3220389721175851E-2</v>
      </c>
      <c r="O87" s="19">
        <f t="shared" si="33"/>
        <v>8.4808194147911742E-8</v>
      </c>
      <c r="P87" s="21">
        <f t="shared" si="34"/>
        <v>34.02956355638667</v>
      </c>
      <c r="Q87" s="9">
        <f t="shared" si="47"/>
        <v>0.44599065862035708</v>
      </c>
      <c r="R87" s="9">
        <f t="shared" si="35"/>
        <v>5.8334863980630542</v>
      </c>
      <c r="S87" s="6">
        <f t="shared" si="48"/>
        <v>2.4548392752155826E-2</v>
      </c>
      <c r="T87" s="6">
        <f t="shared" si="36"/>
        <v>2.3194021993857138E-2</v>
      </c>
      <c r="U87" s="6">
        <f t="shared" si="37"/>
        <v>0.53222290745389422</v>
      </c>
      <c r="V87" s="6">
        <f t="shared" si="38"/>
        <v>3.9535948626064433E-3</v>
      </c>
      <c r="W87" s="6">
        <f t="shared" si="39"/>
        <v>-0.1594590889811818</v>
      </c>
      <c r="X87" s="6">
        <f t="shared" si="40"/>
        <v>-0.15550549411857531</v>
      </c>
      <c r="Y87">
        <f t="shared" si="41"/>
        <v>0.72138114202572312</v>
      </c>
      <c r="AA87" s="43">
        <f t="shared" si="49"/>
        <v>76</v>
      </c>
      <c r="AB87" s="6">
        <f t="shared" si="50"/>
        <v>0.99220359972485039</v>
      </c>
      <c r="AC87" s="6">
        <f>VLOOKUP($C87,'hours (1)'!$A$19:$P$103,16)</f>
        <v>9.7084790473669302E-2</v>
      </c>
      <c r="AD87" s="6">
        <f t="shared" si="51"/>
        <v>0.99617017786544315</v>
      </c>
    </row>
    <row r="88" spans="1:30" x14ac:dyDescent="0.25">
      <c r="A88" s="39">
        <f>'hours (1)'!$A88*'hours (1)'!$B88/'hours (1)'!$A$105</f>
        <v>2.3364851589299888E-4</v>
      </c>
      <c r="B88" s="9">
        <f>'hours (3)'!$E88</f>
        <v>75.194425019587612</v>
      </c>
      <c r="C88" s="26">
        <f t="shared" si="42"/>
        <v>77</v>
      </c>
      <c r="D88" s="25">
        <f t="shared" si="27"/>
        <v>0.51629846273532198</v>
      </c>
      <c r="E88" s="25">
        <f t="shared" si="43"/>
        <v>2.7229764443788577E-3</v>
      </c>
      <c r="F88" s="25">
        <f t="shared" si="28"/>
        <v>2.3874571739810608E-3</v>
      </c>
      <c r="G88" s="30">
        <f t="shared" si="29"/>
        <v>8.5182843627146468E-6</v>
      </c>
      <c r="H88" s="9">
        <f>'hours (3)'!$K88</f>
        <v>77.30106796777963</v>
      </c>
      <c r="I88" s="7">
        <f t="shared" si="30"/>
        <v>4.2</v>
      </c>
      <c r="J88" s="9">
        <f t="shared" si="31"/>
        <v>0.11052271420575177</v>
      </c>
      <c r="K88" s="18">
        <f t="shared" si="44"/>
        <v>2.7800972273780591E-3</v>
      </c>
      <c r="L88" s="19">
        <f t="shared" si="32"/>
        <v>-1.6991003961832341E-3</v>
      </c>
      <c r="M88" s="19">
        <f t="shared" si="45"/>
        <v>5.1064178681365424E-2</v>
      </c>
      <c r="N88" s="19">
        <f t="shared" si="46"/>
        <v>3.3284612580244309E-2</v>
      </c>
      <c r="O88" s="19">
        <f t="shared" si="33"/>
        <v>1.0261914241971315E-7</v>
      </c>
      <c r="P88" s="21">
        <f t="shared" si="34"/>
        <v>34.052961692783079</v>
      </c>
      <c r="Q88" s="9">
        <f t="shared" si="47"/>
        <v>0.44052381924369943</v>
      </c>
      <c r="R88" s="9">
        <f t="shared" si="35"/>
        <v>5.8354915553690141</v>
      </c>
      <c r="S88" s="6">
        <f t="shared" si="48"/>
        <v>2.4539957577739153E-2</v>
      </c>
      <c r="T88" s="6">
        <f t="shared" si="36"/>
        <v>2.3203107544495172E-2</v>
      </c>
      <c r="U88" s="6">
        <f t="shared" si="37"/>
        <v>0.53175394330299197</v>
      </c>
      <c r="V88" s="6">
        <f t="shared" si="38"/>
        <v>3.9023495275609657E-3</v>
      </c>
      <c r="W88" s="6">
        <f t="shared" si="39"/>
        <v>-0.15872049730485496</v>
      </c>
      <c r="X88" s="6">
        <f t="shared" si="40"/>
        <v>-0.15481814777729402</v>
      </c>
      <c r="Y88">
        <f t="shared" si="41"/>
        <v>0.72254914194028097</v>
      </c>
      <c r="AA88" s="43">
        <f t="shared" si="49"/>
        <v>77</v>
      </c>
      <c r="AB88" s="6">
        <f t="shared" si="50"/>
        <v>0.99233122684349084</v>
      </c>
      <c r="AC88" s="6">
        <f>VLOOKUP($C88,'hours (1)'!$A$19:$P$103,16)</f>
        <v>0.16786469164474194</v>
      </c>
      <c r="AD88" s="6">
        <f t="shared" si="51"/>
        <v>0.99621618983264937</v>
      </c>
    </row>
    <row r="89" spans="1:30" x14ac:dyDescent="0.25">
      <c r="A89" s="39">
        <f>'hours (1)'!$A89*'hours (1)'!$B89/'hours (1)'!$A$105</f>
        <v>1.7934446906268614E-4</v>
      </c>
      <c r="B89" s="9">
        <f>'hours (3)'!$E89</f>
        <v>76.194425019587612</v>
      </c>
      <c r="C89" s="26">
        <f t="shared" si="42"/>
        <v>78</v>
      </c>
      <c r="D89" s="25">
        <f t="shared" si="27"/>
        <v>0.50967925167461281</v>
      </c>
      <c r="E89" s="25">
        <f t="shared" si="43"/>
        <v>2.6877052239114487E-3</v>
      </c>
      <c r="F89" s="25">
        <f t="shared" si="28"/>
        <v>2.3564874826213162E-3</v>
      </c>
      <c r="G89" s="30">
        <f t="shared" si="29"/>
        <v>8.5342940112093825E-6</v>
      </c>
      <c r="H89" s="9">
        <f>'hours (3)'!$K89</f>
        <v>78.30106796777963</v>
      </c>
      <c r="I89" s="7">
        <f t="shared" si="30"/>
        <v>4.2</v>
      </c>
      <c r="J89" s="9">
        <f t="shared" si="31"/>
        <v>0.10909177918197052</v>
      </c>
      <c r="K89" s="18">
        <f t="shared" si="44"/>
        <v>2.7441033728952007E-3</v>
      </c>
      <c r="L89" s="19">
        <f t="shared" si="32"/>
        <v>-1.8026437794444045E-3</v>
      </c>
      <c r="M89" s="19">
        <f t="shared" si="45"/>
        <v>5.1118932111083731E-2</v>
      </c>
      <c r="N89" s="19">
        <f t="shared" si="46"/>
        <v>3.3347169184955186E-2</v>
      </c>
      <c r="O89" s="19">
        <f t="shared" si="33"/>
        <v>1.2216974658307844E-7</v>
      </c>
      <c r="P89" s="21">
        <f t="shared" si="34"/>
        <v>34.075683922852321</v>
      </c>
      <c r="Q89" s="9">
        <f t="shared" si="47"/>
        <v>0.43518798411375742</v>
      </c>
      <c r="R89" s="9">
        <f t="shared" si="35"/>
        <v>5.8374381301091596</v>
      </c>
      <c r="S89" s="6">
        <f t="shared" si="48"/>
        <v>2.4531774388387873E-2</v>
      </c>
      <c r="T89" s="6">
        <f t="shared" si="36"/>
        <v>2.3211997558204085E-2</v>
      </c>
      <c r="U89" s="6">
        <f t="shared" si="37"/>
        <v>0.53129836932177255</v>
      </c>
      <c r="V89" s="6">
        <f t="shared" si="38"/>
        <v>3.8524156493938478E-3</v>
      </c>
      <c r="W89" s="6">
        <f t="shared" si="39"/>
        <v>-0.15800352445339194</v>
      </c>
      <c r="X89" s="6">
        <f t="shared" si="40"/>
        <v>-0.1541511088039981</v>
      </c>
      <c r="Y89">
        <f t="shared" si="41"/>
        <v>0.72368870336178526</v>
      </c>
      <c r="AA89" s="43">
        <f t="shared" si="49"/>
        <v>78</v>
      </c>
      <c r="AB89" s="6">
        <f t="shared" si="50"/>
        <v>0.99242800457218117</v>
      </c>
      <c r="AC89" s="6">
        <f>VLOOKUP($C89,'hours (1)'!$A$19:$P$103,16)</f>
        <v>4.9492361336892138E-2</v>
      </c>
      <c r="AD89" s="6">
        <f t="shared" si="51"/>
        <v>0.99622647667490793</v>
      </c>
    </row>
    <row r="90" spans="1:30" x14ac:dyDescent="0.25">
      <c r="A90" s="39">
        <f>'hours (1)'!$A90*'hours (1)'!$B90/'hours (1)'!$A$105</f>
        <v>7.8487843095564717E-3</v>
      </c>
      <c r="B90" s="9">
        <f>'hours (3)'!$E90</f>
        <v>78.194425019587612</v>
      </c>
      <c r="C90" s="26">
        <f t="shared" si="42"/>
        <v>80</v>
      </c>
      <c r="D90" s="25">
        <f t="shared" si="27"/>
        <v>0.49693727038274743</v>
      </c>
      <c r="E90" s="25">
        <f t="shared" si="43"/>
        <v>2.6198349480388724E-3</v>
      </c>
      <c r="F90" s="25">
        <f t="shared" si="28"/>
        <v>2.2968976502809931E-3</v>
      </c>
      <c r="G90" s="30">
        <f t="shared" si="29"/>
        <v>8.5650987182549537E-6</v>
      </c>
      <c r="H90" s="9">
        <f>'hours (3)'!$K90</f>
        <v>80.30106796777963</v>
      </c>
      <c r="I90" s="7">
        <f t="shared" si="30"/>
        <v>4.2</v>
      </c>
      <c r="J90" s="9">
        <f t="shared" si="31"/>
        <v>0.1063382675490431</v>
      </c>
      <c r="K90" s="18">
        <f t="shared" si="44"/>
        <v>2.6748413201916816E-3</v>
      </c>
      <c r="L90" s="19">
        <f t="shared" si="32"/>
        <v>-2.0019044597913566E-3</v>
      </c>
      <c r="M90" s="19">
        <f t="shared" si="45"/>
        <v>5.1224279982259369E-2</v>
      </c>
      <c r="N90" s="19">
        <f t="shared" si="46"/>
        <v>3.3467536467379766E-2</v>
      </c>
      <c r="O90" s="19">
        <f t="shared" si="33"/>
        <v>1.663395757800501E-7</v>
      </c>
      <c r="P90" s="21">
        <f t="shared" si="34"/>
        <v>34.11921450201875</v>
      </c>
      <c r="Q90" s="9">
        <f t="shared" si="47"/>
        <v>0.42489116727200815</v>
      </c>
      <c r="R90" s="9">
        <f t="shared" si="35"/>
        <v>5.8411655088705325</v>
      </c>
      <c r="S90" s="6">
        <f t="shared" si="48"/>
        <v>2.4516120112765105E-2</v>
      </c>
      <c r="T90" s="6">
        <f t="shared" si="36"/>
        <v>2.322921399933725E-2</v>
      </c>
      <c r="U90" s="6">
        <f t="shared" si="37"/>
        <v>0.53042517174156956</v>
      </c>
      <c r="V90" s="6">
        <f t="shared" si="38"/>
        <v>3.7562859136768658E-3</v>
      </c>
      <c r="W90" s="6">
        <f t="shared" si="39"/>
        <v>-0.15663074247288244</v>
      </c>
      <c r="X90" s="6">
        <f t="shared" si="40"/>
        <v>-0.15287445655920562</v>
      </c>
      <c r="Y90">
        <f t="shared" si="41"/>
        <v>0.72588652108875618</v>
      </c>
      <c r="AA90" s="43">
        <f t="shared" si="49"/>
        <v>80</v>
      </c>
      <c r="AB90" s="6">
        <f t="shared" si="50"/>
        <v>0.99656314858799111</v>
      </c>
      <c r="AC90" s="6">
        <f>VLOOKUP($C90,'hours (1)'!$A$19:$P$103,16)</f>
        <v>0.253388979833571</v>
      </c>
      <c r="AD90" s="6">
        <f t="shared" si="51"/>
        <v>0.9984768099522896</v>
      </c>
    </row>
    <row r="91" spans="1:30" x14ac:dyDescent="0.25">
      <c r="A91" s="39">
        <f>'hours (1)'!$A91*'hours (1)'!$B91/'hours (1)'!$A$105</f>
        <v>9.4027535741569827E-5</v>
      </c>
      <c r="B91" s="9">
        <f>'hours (3)'!$E91</f>
        <v>80.194425019587612</v>
      </c>
      <c r="C91" s="26">
        <f t="shared" si="42"/>
        <v>82</v>
      </c>
      <c r="D91" s="25">
        <f t="shared" si="27"/>
        <v>0.48481684915389994</v>
      </c>
      <c r="E91" s="25">
        <f t="shared" si="43"/>
        <v>2.5553081501955076E-3</v>
      </c>
      <c r="F91" s="25">
        <f t="shared" si="28"/>
        <v>2.2402473718951374E-3</v>
      </c>
      <c r="G91" s="30">
        <f t="shared" si="29"/>
        <v>8.5943838355508062E-6</v>
      </c>
      <c r="H91" s="9">
        <f>'hours (3)'!$K91</f>
        <v>82.30106796777963</v>
      </c>
      <c r="I91" s="7">
        <f t="shared" si="30"/>
        <v>4.2</v>
      </c>
      <c r="J91" s="9">
        <f t="shared" si="31"/>
        <v>0.1037203405449673</v>
      </c>
      <c r="K91" s="18">
        <f t="shared" si="44"/>
        <v>2.6089897741288495E-3</v>
      </c>
      <c r="L91" s="19">
        <f t="shared" si="32"/>
        <v>-2.1913714887019375E-3</v>
      </c>
      <c r="M91" s="19">
        <f t="shared" si="45"/>
        <v>5.1324424889084598E-2</v>
      </c>
      <c r="N91" s="19">
        <f t="shared" si="46"/>
        <v>3.3581966056960739E-2</v>
      </c>
      <c r="O91" s="19">
        <f t="shared" si="33"/>
        <v>2.1695903751339785E-7</v>
      </c>
      <c r="P91" s="21">
        <f t="shared" si="34"/>
        <v>34.160367432711233</v>
      </c>
      <c r="Q91" s="9">
        <f t="shared" si="47"/>
        <v>0.41506590711659791</v>
      </c>
      <c r="R91" s="9">
        <f t="shared" si="35"/>
        <v>5.8446871116178007</v>
      </c>
      <c r="S91" s="6">
        <f t="shared" si="48"/>
        <v>2.4501348400560039E-2</v>
      </c>
      <c r="T91" s="6">
        <f t="shared" si="36"/>
        <v>2.3245715419916602E-2</v>
      </c>
      <c r="U91" s="6">
        <f t="shared" si="37"/>
        <v>0.52959917165391568</v>
      </c>
      <c r="V91" s="6">
        <f t="shared" si="38"/>
        <v>3.6648368568079699E-3</v>
      </c>
      <c r="W91" s="6">
        <f t="shared" si="39"/>
        <v>-0.15533386905606589</v>
      </c>
      <c r="X91" s="6">
        <f t="shared" si="40"/>
        <v>-0.15166903219925798</v>
      </c>
      <c r="Y91">
        <f t="shared" si="41"/>
        <v>0.72798216174331343</v>
      </c>
      <c r="AA91" s="43">
        <f t="shared" si="49"/>
        <v>82</v>
      </c>
      <c r="AB91" s="6">
        <f t="shared" si="50"/>
        <v>0.99661154160057519</v>
      </c>
      <c r="AC91" s="6">
        <f>VLOOKUP($C91,'hours (1)'!$A$19:$P$103,16)</f>
        <v>0</v>
      </c>
      <c r="AD91" s="6">
        <f t="shared" si="51"/>
        <v>0.9984768099522896</v>
      </c>
    </row>
    <row r="92" spans="1:30" x14ac:dyDescent="0.25">
      <c r="A92" s="39">
        <f>'hours (1)'!$A92*'hours (1)'!$B92/'hours (1)'!$A$105</f>
        <v>1.5392736740416385E-3</v>
      </c>
      <c r="B92" s="9">
        <f>'hours (3)'!$E92</f>
        <v>82.194425019587612</v>
      </c>
      <c r="C92" s="26">
        <f t="shared" si="42"/>
        <v>84</v>
      </c>
      <c r="D92" s="25">
        <f t="shared" si="27"/>
        <v>0.47327359084071186</v>
      </c>
      <c r="E92" s="25">
        <f t="shared" si="43"/>
        <v>2.4938836946941097E-3</v>
      </c>
      <c r="F92" s="25">
        <f t="shared" si="28"/>
        <v>2.1863243634961294E-3</v>
      </c>
      <c r="G92" s="30">
        <f t="shared" si="29"/>
        <v>8.622259102379229E-6</v>
      </c>
      <c r="H92" s="9">
        <f>'hours (3)'!$K92</f>
        <v>84.30106796777963</v>
      </c>
      <c r="I92" s="7">
        <f t="shared" si="30"/>
        <v>4.2</v>
      </c>
      <c r="J92" s="9">
        <f t="shared" si="31"/>
        <v>0.10122822387410318</v>
      </c>
      <c r="K92" s="18">
        <f t="shared" si="44"/>
        <v>2.546302871289366E-3</v>
      </c>
      <c r="L92" s="19">
        <f t="shared" si="32"/>
        <v>-2.3717496270941746E-3</v>
      </c>
      <c r="M92" s="19">
        <f t="shared" si="45"/>
        <v>5.1419743001901372E-2</v>
      </c>
      <c r="N92" s="19">
        <f t="shared" si="46"/>
        <v>3.3690886752425674E-2</v>
      </c>
      <c r="O92" s="19">
        <f t="shared" si="33"/>
        <v>2.7360434086409757E-7</v>
      </c>
      <c r="P92" s="21">
        <f t="shared" si="34"/>
        <v>34.199332305508044</v>
      </c>
      <c r="Q92" s="9">
        <f t="shared" si="47"/>
        <v>0.40568089028930487</v>
      </c>
      <c r="R92" s="9">
        <f t="shared" si="35"/>
        <v>5.8480195199322003</v>
      </c>
      <c r="S92" s="6">
        <f t="shared" si="48"/>
        <v>2.4487386665848702E-2</v>
      </c>
      <c r="T92" s="6">
        <f t="shared" si="36"/>
        <v>2.3261542939621904E-2</v>
      </c>
      <c r="U92" s="6">
        <f t="shared" si="37"/>
        <v>0.52881665830074465</v>
      </c>
      <c r="V92" s="6">
        <f t="shared" si="38"/>
        <v>3.5777347411844653E-3</v>
      </c>
      <c r="W92" s="6">
        <f t="shared" si="39"/>
        <v>-0.15410677138265372</v>
      </c>
      <c r="X92" s="6">
        <f t="shared" si="40"/>
        <v>-0.15052903664146913</v>
      </c>
      <c r="Y92">
        <f t="shared" si="41"/>
        <v>0.72998252054086077</v>
      </c>
      <c r="AA92" s="43">
        <f t="shared" si="49"/>
        <v>84</v>
      </c>
      <c r="AB92" s="6">
        <f t="shared" si="50"/>
        <v>0.99738584458707857</v>
      </c>
      <c r="AC92" s="6">
        <f>VLOOKUP($C92,'hours (1)'!$A$19:$P$103,16)</f>
        <v>0.12384700904139835</v>
      </c>
      <c r="AD92" s="6">
        <f t="shared" si="51"/>
        <v>0.998682761441679</v>
      </c>
    </row>
    <row r="93" spans="1:30" x14ac:dyDescent="0.25">
      <c r="A93" s="39">
        <f>'hours (1)'!$A93*'hours (1)'!$B93/'hours (1)'!$A$105</f>
        <v>6.3559081061839761E-4</v>
      </c>
      <c r="B93" s="9">
        <f>'hours (3)'!$E93</f>
        <v>83.194425019587612</v>
      </c>
      <c r="C93" s="26">
        <f t="shared" si="42"/>
        <v>85</v>
      </c>
      <c r="D93" s="25">
        <f t="shared" si="27"/>
        <v>0.4677056662425858</v>
      </c>
      <c r="E93" s="25">
        <f t="shared" si="43"/>
        <v>2.4642657558685802E-3</v>
      </c>
      <c r="F93" s="25">
        <f t="shared" si="28"/>
        <v>2.1603247697435175E-3</v>
      </c>
      <c r="G93" s="30">
        <f t="shared" si="29"/>
        <v>8.6356994803329551E-6</v>
      </c>
      <c r="H93" s="9">
        <f>'hours (3)'!$K93</f>
        <v>85.30106796777963</v>
      </c>
      <c r="I93" s="7">
        <f t="shared" si="30"/>
        <v>4.2</v>
      </c>
      <c r="J93" s="9">
        <f t="shared" si="31"/>
        <v>0.10002654380547611</v>
      </c>
      <c r="K93" s="18">
        <f t="shared" si="44"/>
        <v>2.5160757143561194E-3</v>
      </c>
      <c r="L93" s="19">
        <f t="shared" si="32"/>
        <v>-2.4587323282160012E-3</v>
      </c>
      <c r="M93" s="19">
        <f t="shared" si="45"/>
        <v>5.1465699766079127E-2</v>
      </c>
      <c r="N93" s="19">
        <f t="shared" si="46"/>
        <v>3.3743404108512072E-2</v>
      </c>
      <c r="O93" s="19">
        <f t="shared" si="33"/>
        <v>3.040441757945489E-7</v>
      </c>
      <c r="P93" s="21">
        <f t="shared" si="34"/>
        <v>34.218048029091825</v>
      </c>
      <c r="Q93" s="9">
        <f t="shared" si="47"/>
        <v>0.40114442696094788</v>
      </c>
      <c r="R93" s="9">
        <f t="shared" si="35"/>
        <v>5.8496194772901102</v>
      </c>
      <c r="S93" s="6">
        <f t="shared" si="48"/>
        <v>2.448068900378297E-2</v>
      </c>
      <c r="T93" s="6">
        <f t="shared" si="36"/>
        <v>2.3269216067458708E-2</v>
      </c>
      <c r="U93" s="6">
        <f t="shared" si="37"/>
        <v>0.52844065410481489</v>
      </c>
      <c r="V93" s="6">
        <f t="shared" si="38"/>
        <v>3.5357180670370853E-3</v>
      </c>
      <c r="W93" s="6">
        <f t="shared" si="39"/>
        <v>-0.15351765033359197</v>
      </c>
      <c r="X93" s="6">
        <f t="shared" si="40"/>
        <v>-0.14998193226655482</v>
      </c>
      <c r="Y93">
        <f t="shared" si="41"/>
        <v>0.73094895826358763</v>
      </c>
      <c r="AA93" s="43">
        <f t="shared" si="49"/>
        <v>85</v>
      </c>
      <c r="AB93" s="6">
        <f t="shared" si="50"/>
        <v>0.99770199147749095</v>
      </c>
      <c r="AC93" s="6">
        <f>VLOOKUP($C93,'hours (1)'!$A$19:$P$103,16)</f>
        <v>0.16763775735501135</v>
      </c>
      <c r="AD93" s="6">
        <f t="shared" si="51"/>
        <v>0.99879658423430351</v>
      </c>
    </row>
    <row r="94" spans="1:30" x14ac:dyDescent="0.25">
      <c r="A94" s="39">
        <f>'hours (1)'!$A94*'hours (1)'!$B94/'hours (1)'!$A$105</f>
        <v>6.2866001373679725E-5</v>
      </c>
      <c r="B94" s="9">
        <f>'hours (3)'!$E94</f>
        <v>84.194425019587612</v>
      </c>
      <c r="C94" s="26">
        <f t="shared" si="42"/>
        <v>86</v>
      </c>
      <c r="D94" s="25">
        <f t="shared" si="27"/>
        <v>0.46226722826302086</v>
      </c>
      <c r="E94" s="25">
        <f t="shared" si="43"/>
        <v>2.4353430905051051E-3</v>
      </c>
      <c r="F94" s="25">
        <f t="shared" si="28"/>
        <v>2.1349363018931247E-3</v>
      </c>
      <c r="G94" s="30">
        <f t="shared" si="29"/>
        <v>8.6488239393849737E-6</v>
      </c>
      <c r="H94" s="9">
        <f>'hours (3)'!$K94</f>
        <v>86.30106796777963</v>
      </c>
      <c r="I94" s="7">
        <f t="shared" si="30"/>
        <v>4.2</v>
      </c>
      <c r="J94" s="9">
        <f t="shared" si="31"/>
        <v>9.8853060746231222E-2</v>
      </c>
      <c r="K94" s="18">
        <f t="shared" si="44"/>
        <v>2.4865578272609068E-3</v>
      </c>
      <c r="L94" s="19">
        <f t="shared" si="32"/>
        <v>-2.5436775956366869E-3</v>
      </c>
      <c r="M94" s="19">
        <f t="shared" si="45"/>
        <v>5.1510575081056491E-2</v>
      </c>
      <c r="N94" s="19">
        <f t="shared" si="46"/>
        <v>3.3794687033132875E-2</v>
      </c>
      <c r="O94" s="19">
        <f t="shared" si="33"/>
        <v>3.3581719452446812E-7</v>
      </c>
      <c r="P94" s="21">
        <f t="shared" si="34"/>
        <v>34.236279080200433</v>
      </c>
      <c r="Q94" s="9">
        <f t="shared" si="47"/>
        <v>0.39670747867201939</v>
      </c>
      <c r="R94" s="9">
        <f t="shared" si="35"/>
        <v>5.8511775806413899</v>
      </c>
      <c r="S94" s="6">
        <f t="shared" si="48"/>
        <v>2.4474170069251802E-2</v>
      </c>
      <c r="T94" s="6">
        <f t="shared" si="36"/>
        <v>2.327673488431176E-2</v>
      </c>
      <c r="U94" s="6">
        <f t="shared" si="37"/>
        <v>0.52807429849686782</v>
      </c>
      <c r="V94" s="6">
        <f t="shared" si="38"/>
        <v>3.4946768204816387E-3</v>
      </c>
      <c r="W94" s="6">
        <f t="shared" si="39"/>
        <v>-0.15294396046394693</v>
      </c>
      <c r="X94" s="6">
        <f t="shared" si="40"/>
        <v>-0.14944928364346527</v>
      </c>
      <c r="Y94">
        <f t="shared" si="41"/>
        <v>0.73189389306990194</v>
      </c>
      <c r="AA94" s="43">
        <f t="shared" si="49"/>
        <v>86</v>
      </c>
      <c r="AB94" s="6">
        <f t="shared" si="50"/>
        <v>0.99773291555602028</v>
      </c>
      <c r="AC94" s="6">
        <f>VLOOKUP($C94,'hours (1)'!$A$19:$P$103,16)</f>
        <v>0</v>
      </c>
      <c r="AD94" s="6">
        <f t="shared" si="51"/>
        <v>0.99879658423430351</v>
      </c>
    </row>
    <row r="95" spans="1:30" x14ac:dyDescent="0.25">
      <c r="A95" s="39">
        <f>'hours (1)'!$A95*'hours (1)'!$B95/'hours (1)'!$A$105</f>
        <v>3.635257383757674E-5</v>
      </c>
      <c r="B95" s="9">
        <f>'hours (3)'!$E95</f>
        <v>85.194425019587612</v>
      </c>
      <c r="C95" s="26">
        <f t="shared" si="42"/>
        <v>87</v>
      </c>
      <c r="D95" s="25">
        <f t="shared" si="27"/>
        <v>0.45695381184620454</v>
      </c>
      <c r="E95" s="25">
        <f t="shared" si="43"/>
        <v>2.407091499510833E-3</v>
      </c>
      <c r="F95" s="25">
        <f t="shared" si="28"/>
        <v>2.1101376624920939E-3</v>
      </c>
      <c r="G95" s="30">
        <f t="shared" si="29"/>
        <v>8.6616434891617671E-6</v>
      </c>
      <c r="H95" s="9">
        <f>'hours (3)'!$K95</f>
        <v>87.30106796777963</v>
      </c>
      <c r="I95" s="7">
        <f t="shared" si="30"/>
        <v>4.2</v>
      </c>
      <c r="J95" s="9">
        <f t="shared" si="31"/>
        <v>9.7706793706635958E-2</v>
      </c>
      <c r="K95" s="18">
        <f t="shared" si="44"/>
        <v>2.4577245341092283E-3</v>
      </c>
      <c r="L95" s="19">
        <f t="shared" si="32"/>
        <v>-2.6266561902566349E-3</v>
      </c>
      <c r="M95" s="19">
        <f t="shared" si="45"/>
        <v>5.1554406676662876E-2</v>
      </c>
      <c r="N95" s="19">
        <f t="shared" si="46"/>
        <v>3.3844778545649344E-2</v>
      </c>
      <c r="O95" s="19">
        <f t="shared" si="33"/>
        <v>3.6886424586990429E-7</v>
      </c>
      <c r="P95" s="21">
        <f t="shared" si="34"/>
        <v>34.254044042519439</v>
      </c>
      <c r="Q95" s="9">
        <f t="shared" si="47"/>
        <v>0.39236683857248622</v>
      </c>
      <c r="R95" s="9">
        <f t="shared" si="35"/>
        <v>5.8526954510310407</v>
      </c>
      <c r="S95" s="6">
        <f t="shared" si="48"/>
        <v>2.4467822802702533E-2</v>
      </c>
      <c r="T95" s="6">
        <f t="shared" si="36"/>
        <v>2.3284103775111011E-2</v>
      </c>
      <c r="U95" s="6">
        <f t="shared" si="37"/>
        <v>0.52771722617430161</v>
      </c>
      <c r="V95" s="6">
        <f t="shared" si="38"/>
        <v>3.4545774240460582E-3</v>
      </c>
      <c r="W95" s="6">
        <f t="shared" si="39"/>
        <v>-0.15238510274057016</v>
      </c>
      <c r="X95" s="6">
        <f t="shared" si="40"/>
        <v>-0.14893052531652412</v>
      </c>
      <c r="Y95">
        <f t="shared" si="41"/>
        <v>0.73281802852910671</v>
      </c>
      <c r="AA95" s="43">
        <f t="shared" si="49"/>
        <v>87</v>
      </c>
      <c r="AB95" s="6">
        <f t="shared" si="50"/>
        <v>0.99775060189735876</v>
      </c>
      <c r="AC95" s="6">
        <f>VLOOKUP($C95,'hours (1)'!$A$19:$P$103,16)</f>
        <v>0</v>
      </c>
      <c r="AD95" s="6">
        <f t="shared" si="51"/>
        <v>0.99879658423430351</v>
      </c>
    </row>
    <row r="96" spans="1:30" x14ac:dyDescent="0.25">
      <c r="A96" s="39">
        <f>'hours (1)'!$A96*'hours (1)'!$B96/'hours (1)'!$A$105</f>
        <v>2.4316544559487854E-5</v>
      </c>
      <c r="B96" s="9">
        <f>'hours (3)'!$E96</f>
        <v>87.194425019587612</v>
      </c>
      <c r="C96" s="26">
        <f t="shared" si="42"/>
        <v>89</v>
      </c>
      <c r="D96" s="25">
        <f t="shared" si="27"/>
        <v>0.44668518686089659</v>
      </c>
      <c r="E96" s="25">
        <f t="shared" si="43"/>
        <v>2.3525102321760123E-3</v>
      </c>
      <c r="F96" s="25">
        <f t="shared" si="28"/>
        <v>2.0622295150902782E-3</v>
      </c>
      <c r="G96" s="30">
        <f t="shared" si="29"/>
        <v>8.6864093995167539E-6</v>
      </c>
      <c r="H96" s="9">
        <f>'hours (3)'!$K96</f>
        <v>89.30106796777963</v>
      </c>
      <c r="I96" s="7">
        <f t="shared" si="30"/>
        <v>4.2</v>
      </c>
      <c r="J96" s="9">
        <f t="shared" si="31"/>
        <v>9.5492206108300448E-2</v>
      </c>
      <c r="K96" s="18">
        <f t="shared" si="44"/>
        <v>2.4020186198438873E-3</v>
      </c>
      <c r="L96" s="19">
        <f t="shared" si="32"/>
        <v>-2.7869803908814189E-3</v>
      </c>
      <c r="M96" s="19">
        <f t="shared" si="45"/>
        <v>5.1639081052834476E-2</v>
      </c>
      <c r="N96" s="19">
        <f t="shared" si="46"/>
        <v>3.3941549643708824E-2</v>
      </c>
      <c r="O96" s="19">
        <f t="shared" si="33"/>
        <v>4.3854497579209895E-7</v>
      </c>
      <c r="P96" s="21">
        <f t="shared" si="34"/>
        <v>34.288245404463233</v>
      </c>
      <c r="Q96" s="9">
        <f t="shared" si="47"/>
        <v>0.38396232189333546</v>
      </c>
      <c r="R96" s="9">
        <f t="shared" si="35"/>
        <v>5.8556165691123621</v>
      </c>
      <c r="S96" s="6">
        <f t="shared" si="48"/>
        <v>2.445561684646275E-2</v>
      </c>
      <c r="T96" s="6">
        <f t="shared" si="36"/>
        <v>2.3298408566268306E-2</v>
      </c>
      <c r="U96" s="6">
        <f t="shared" si="37"/>
        <v>0.5270295597833824</v>
      </c>
      <c r="V96" s="6">
        <f t="shared" si="38"/>
        <v>3.3770774044410432E-3</v>
      </c>
      <c r="W96" s="6">
        <f t="shared" si="39"/>
        <v>-0.15130963883448717</v>
      </c>
      <c r="X96" s="6">
        <f t="shared" si="40"/>
        <v>-0.14793256143004593</v>
      </c>
      <c r="Y96">
        <f t="shared" si="41"/>
        <v>0.73460656704189564</v>
      </c>
      <c r="AA96" s="43">
        <f t="shared" si="49"/>
        <v>89</v>
      </c>
      <c r="AB96" s="6">
        <f t="shared" si="50"/>
        <v>0.99776217903007458</v>
      </c>
      <c r="AC96" s="6">
        <f>VLOOKUP($C96,'hours (1)'!$A$19:$P$103,16)</f>
        <v>0</v>
      </c>
      <c r="AD96" s="6">
        <f t="shared" si="51"/>
        <v>0.99879658423430351</v>
      </c>
    </row>
    <row r="97" spans="1:30" x14ac:dyDescent="0.25">
      <c r="A97" s="39">
        <f>'hours (1)'!$A97*'hours (1)'!$B97/'hours (1)'!$A$105</f>
        <v>1.0914241648678396E-3</v>
      </c>
      <c r="B97" s="9">
        <f>'hours (3)'!$E97</f>
        <v>88.194425019587612</v>
      </c>
      <c r="C97" s="26">
        <f t="shared" si="42"/>
        <v>90</v>
      </c>
      <c r="D97" s="25">
        <f t="shared" si="27"/>
        <v>0.44172201811799772</v>
      </c>
      <c r="E97" s="25">
        <f t="shared" si="43"/>
        <v>2.326137460968642E-3</v>
      </c>
      <c r="F97" s="25">
        <f t="shared" si="28"/>
        <v>2.0390820851838602E-3</v>
      </c>
      <c r="G97" s="30">
        <f t="shared" si="29"/>
        <v>8.6983753636606511E-6</v>
      </c>
      <c r="H97" s="9">
        <f>'hours (3)'!$K97</f>
        <v>90.30106796777963</v>
      </c>
      <c r="I97" s="7">
        <f t="shared" si="30"/>
        <v>4.2</v>
      </c>
      <c r="J97" s="9">
        <f t="shared" si="31"/>
        <v>9.4422138473601355E-2</v>
      </c>
      <c r="K97" s="18">
        <f t="shared" si="44"/>
        <v>2.3751020526412777E-3</v>
      </c>
      <c r="L97" s="19">
        <f t="shared" si="32"/>
        <v>-2.8644520424280923E-3</v>
      </c>
      <c r="M97" s="19">
        <f t="shared" si="45"/>
        <v>5.1679991005949541E-2</v>
      </c>
      <c r="N97" s="19">
        <f t="shared" si="46"/>
        <v>3.3988305828841832E-2</v>
      </c>
      <c r="O97" s="19">
        <f t="shared" si="33"/>
        <v>4.7506245015593862E-7</v>
      </c>
      <c r="P97" s="21">
        <f t="shared" si="34"/>
        <v>34.304714511331419</v>
      </c>
      <c r="Q97" s="9">
        <f t="shared" si="47"/>
        <v>0.37989267772084045</v>
      </c>
      <c r="R97" s="9">
        <f t="shared" si="35"/>
        <v>5.8570226661104376</v>
      </c>
      <c r="S97" s="6">
        <f t="shared" si="48"/>
        <v>2.4449745779985089E-2</v>
      </c>
      <c r="T97" s="6">
        <f t="shared" si="36"/>
        <v>2.3305352500833681E-2</v>
      </c>
      <c r="U97" s="6">
        <f t="shared" si="37"/>
        <v>0.52669832147289586</v>
      </c>
      <c r="V97" s="6">
        <f t="shared" si="38"/>
        <v>3.3396169084478843E-3</v>
      </c>
      <c r="W97" s="6">
        <f t="shared" si="39"/>
        <v>-0.15079198016057954</v>
      </c>
      <c r="X97" s="6">
        <f t="shared" si="40"/>
        <v>-0.14745236325213176</v>
      </c>
      <c r="Y97">
        <f t="shared" si="41"/>
        <v>0.73547223319430188</v>
      </c>
      <c r="AA97" s="43">
        <f t="shared" si="49"/>
        <v>90</v>
      </c>
      <c r="AB97" s="6">
        <f t="shared" si="50"/>
        <v>0.99827629965867382</v>
      </c>
      <c r="AC97" s="6">
        <f>VLOOKUP($C97,'hours (1)'!$A$19:$P$103,16)</f>
        <v>0.16005690514757984</v>
      </c>
      <c r="AD97" s="6">
        <f t="shared" si="51"/>
        <v>0.99897331327701688</v>
      </c>
    </row>
    <row r="98" spans="1:30" x14ac:dyDescent="0.25">
      <c r="A98" s="39">
        <f>'hours (1)'!$A98*'hours (1)'!$B98/'hours (1)'!$A$105</f>
        <v>1.3983102524572018E-4</v>
      </c>
      <c r="B98" s="9">
        <f>'hours (3)'!$E98</f>
        <v>89.194425019587612</v>
      </c>
      <c r="C98" s="26">
        <f t="shared" si="42"/>
        <v>91</v>
      </c>
      <c r="D98" s="25">
        <f t="shared" si="27"/>
        <v>0.43686793000681096</v>
      </c>
      <c r="E98" s="25">
        <f t="shared" si="43"/>
        <v>2.3003494608834119E-3</v>
      </c>
      <c r="F98" s="25">
        <f t="shared" si="28"/>
        <v>2.0164485397775834E-3</v>
      </c>
      <c r="G98" s="30">
        <f t="shared" si="29"/>
        <v>8.7100756774266171E-6</v>
      </c>
      <c r="H98" s="9">
        <f>'hours (3)'!$K98</f>
        <v>91.30106796777963</v>
      </c>
      <c r="I98" s="7">
        <f t="shared" si="30"/>
        <v>4.2</v>
      </c>
      <c r="J98" s="9">
        <f t="shared" si="31"/>
        <v>9.3375788108520444E-2</v>
      </c>
      <c r="K98" s="18">
        <f t="shared" si="44"/>
        <v>2.348782071542984E-3</v>
      </c>
      <c r="L98" s="19">
        <f t="shared" si="32"/>
        <v>-2.940209442868158E-3</v>
      </c>
      <c r="M98" s="19">
        <f t="shared" si="45"/>
        <v>5.1719991762555886E-2</v>
      </c>
      <c r="N98" s="19">
        <f t="shared" si="46"/>
        <v>3.4034024003322144E-2</v>
      </c>
      <c r="O98" s="19">
        <f t="shared" si="33"/>
        <v>5.1262205477686784E-7</v>
      </c>
      <c r="P98" s="21">
        <f t="shared" si="34"/>
        <v>34.320783048163911</v>
      </c>
      <c r="Q98" s="9">
        <f t="shared" si="47"/>
        <v>0.37590779398413826</v>
      </c>
      <c r="R98" s="9">
        <f t="shared" si="35"/>
        <v>5.858394238028362</v>
      </c>
      <c r="S98" s="6">
        <f t="shared" si="48"/>
        <v>2.4444021586059298E-2</v>
      </c>
      <c r="T98" s="6">
        <f t="shared" si="36"/>
        <v>2.3312162588320189E-2</v>
      </c>
      <c r="U98" s="6">
        <f t="shared" si="37"/>
        <v>0.52637507597991706</v>
      </c>
      <c r="V98" s="6">
        <f t="shared" si="38"/>
        <v>3.302978362643236E-3</v>
      </c>
      <c r="W98" s="6">
        <f t="shared" si="39"/>
        <v>-0.15028704520316169</v>
      </c>
      <c r="X98" s="6">
        <f t="shared" si="40"/>
        <v>-0.14698406684051835</v>
      </c>
      <c r="Y98">
        <f t="shared" si="41"/>
        <v>0.73631962904925297</v>
      </c>
      <c r="AA98" s="43">
        <f t="shared" si="49"/>
        <v>91</v>
      </c>
      <c r="AB98" s="6">
        <f t="shared" si="50"/>
        <v>0.99834147681589147</v>
      </c>
      <c r="AC98" s="6">
        <f>VLOOKUP($C98,'hours (1)'!$A$19:$P$103,16)</f>
        <v>7.1411137265055727E-2</v>
      </c>
      <c r="AD98" s="6">
        <f t="shared" si="51"/>
        <v>0.99898330935979285</v>
      </c>
    </row>
    <row r="99" spans="1:30" x14ac:dyDescent="0.25">
      <c r="A99" s="39">
        <f>'hours (1)'!$A99*'hours (1)'!$B99/'hours (1)'!$A$105</f>
        <v>3.1913045983324432E-5</v>
      </c>
      <c r="B99" s="9">
        <f>'hours (3)'!$E99</f>
        <v>92.194425019587612</v>
      </c>
      <c r="C99" s="26">
        <f t="shared" si="42"/>
        <v>94</v>
      </c>
      <c r="D99" s="25">
        <f t="shared" si="27"/>
        <v>0.42292533649595526</v>
      </c>
      <c r="E99" s="25">
        <f t="shared" si="43"/>
        <v>2.2263058464085592E-3</v>
      </c>
      <c r="F99" s="25">
        <f t="shared" si="28"/>
        <v>1.9514655929975982E-3</v>
      </c>
      <c r="G99" s="30">
        <f t="shared" si="29"/>
        <v>8.743668331741924E-6</v>
      </c>
      <c r="H99" s="9">
        <f>'hours (3)'!$K99</f>
        <v>94.30106796777963</v>
      </c>
      <c r="I99" s="7">
        <f t="shared" si="30"/>
        <v>4.2</v>
      </c>
      <c r="J99" s="9">
        <f t="shared" si="31"/>
        <v>9.0371408883735446E-2</v>
      </c>
      <c r="K99" s="18">
        <f t="shared" si="44"/>
        <v>2.2732096752908632E-3</v>
      </c>
      <c r="L99" s="19">
        <f t="shared" si="32"/>
        <v>-3.1577468664032299E-3</v>
      </c>
      <c r="M99" s="19">
        <f t="shared" si="45"/>
        <v>5.183483217575581E-2</v>
      </c>
      <c r="N99" s="19">
        <f t="shared" si="46"/>
        <v>3.416528499870769E-2</v>
      </c>
      <c r="O99" s="19">
        <f t="shared" si="33"/>
        <v>6.3100523715886592E-7</v>
      </c>
      <c r="P99" s="21">
        <f t="shared" si="34"/>
        <v>34.366726222055739</v>
      </c>
      <c r="Q99" s="9">
        <f t="shared" si="47"/>
        <v>0.36443623558746979</v>
      </c>
      <c r="R99" s="9">
        <f t="shared" si="35"/>
        <v>5.8623140671628757</v>
      </c>
      <c r="S99" s="6">
        <f t="shared" si="48"/>
        <v>2.4427677120907827E-2</v>
      </c>
      <c r="T99" s="6">
        <f t="shared" si="36"/>
        <v>2.333182595496101E-2</v>
      </c>
      <c r="U99" s="6">
        <f t="shared" si="37"/>
        <v>0.52545051329548298</v>
      </c>
      <c r="V99" s="6">
        <f t="shared" si="38"/>
        <v>3.1977325203326264E-3</v>
      </c>
      <c r="W99" s="6">
        <f t="shared" si="39"/>
        <v>-0.14884405451520233</v>
      </c>
      <c r="X99" s="6">
        <f t="shared" si="40"/>
        <v>-0.14564632199486977</v>
      </c>
      <c r="Y99">
        <f t="shared" si="41"/>
        <v>0.73875776144623972</v>
      </c>
      <c r="AA99" s="43">
        <f t="shared" si="49"/>
        <v>94</v>
      </c>
      <c r="AB99" s="6">
        <f t="shared" si="50"/>
        <v>0.99835589798109281</v>
      </c>
      <c r="AC99" s="6">
        <f>VLOOKUP($C99,'hours (1)'!$A$19:$P$103,16)</f>
        <v>1</v>
      </c>
      <c r="AD99" s="6">
        <f t="shared" si="51"/>
        <v>0.99901428132993653</v>
      </c>
    </row>
    <row r="100" spans="1:30" x14ac:dyDescent="0.25">
      <c r="A100" s="39">
        <f>'hours (1)'!$A100*'hours (1)'!$B100/'hours (1)'!$A$105</f>
        <v>8.4377078426558727E-5</v>
      </c>
      <c r="B100" s="9">
        <f>'hours (3)'!$E100</f>
        <v>93.194425019587612</v>
      </c>
      <c r="C100" s="26">
        <f t="shared" si="42"/>
        <v>95</v>
      </c>
      <c r="D100" s="25">
        <f t="shared" si="27"/>
        <v>0.41847349084862945</v>
      </c>
      <c r="E100" s="25">
        <f t="shared" si="43"/>
        <v>2.2026726868386672E-3</v>
      </c>
      <c r="F100" s="25">
        <f t="shared" si="28"/>
        <v>1.930725488726769E-3</v>
      </c>
      <c r="G100" s="30">
        <f t="shared" si="29"/>
        <v>8.754389839272081E-6</v>
      </c>
      <c r="H100" s="9">
        <f>'hours (3)'!$K100</f>
        <v>95.30106796777963</v>
      </c>
      <c r="I100" s="7">
        <f t="shared" si="30"/>
        <v>4.2</v>
      </c>
      <c r="J100" s="9">
        <f t="shared" si="31"/>
        <v>8.9412457835563869E-2</v>
      </c>
      <c r="K100" s="18">
        <f t="shared" si="44"/>
        <v>2.2490881436276968E-3</v>
      </c>
      <c r="L100" s="19">
        <f t="shared" si="32"/>
        <v>-3.2271863203619938E-3</v>
      </c>
      <c r="M100" s="19">
        <f t="shared" si="45"/>
        <v>5.1871483227027483E-2</v>
      </c>
      <c r="N100" s="19">
        <f t="shared" si="46"/>
        <v>3.4207178554877225E-2</v>
      </c>
      <c r="O100" s="19">
        <f t="shared" si="33"/>
        <v>6.7219201428658781E-7</v>
      </c>
      <c r="P100" s="21">
        <f t="shared" si="34"/>
        <v>34.381330193178094</v>
      </c>
      <c r="Q100" s="9">
        <f t="shared" si="47"/>
        <v>0.36076542400135631</v>
      </c>
      <c r="R100" s="9">
        <f t="shared" si="35"/>
        <v>5.8635595156166103</v>
      </c>
      <c r="S100" s="6">
        <f t="shared" si="48"/>
        <v>2.4422488563919955E-2</v>
      </c>
      <c r="T100" s="6">
        <f t="shared" si="36"/>
        <v>2.3338136232029408E-2</v>
      </c>
      <c r="U100" s="6">
        <f t="shared" si="37"/>
        <v>0.52515651962685006</v>
      </c>
      <c r="V100" s="6">
        <f t="shared" si="38"/>
        <v>3.1641253743652244E-3</v>
      </c>
      <c r="W100" s="6">
        <f t="shared" si="39"/>
        <v>-0.14838559255577488</v>
      </c>
      <c r="X100" s="6">
        <f t="shared" si="40"/>
        <v>-0.14522146718140949</v>
      </c>
      <c r="Y100">
        <f t="shared" si="41"/>
        <v>0.73953753174632497</v>
      </c>
      <c r="AA100" s="43">
        <f t="shared" si="49"/>
        <v>95</v>
      </c>
      <c r="AB100" s="6">
        <f t="shared" si="50"/>
        <v>0.99839364302487987</v>
      </c>
      <c r="AC100" s="6">
        <f>VLOOKUP($C100,'hours (1)'!$A$19:$P$103,16)</f>
        <v>0.61093299067674678</v>
      </c>
      <c r="AD100" s="6">
        <f t="shared" si="51"/>
        <v>0.99906380604566969</v>
      </c>
    </row>
    <row r="101" spans="1:30" x14ac:dyDescent="0.25">
      <c r="A101" s="39">
        <f>'hours (1)'!$A101*'hours (1)'!$B101/'hours (1)'!$A$105</f>
        <v>3.8131501811645247E-4</v>
      </c>
      <c r="B101" s="9">
        <f>'hours (3)'!$E101</f>
        <v>94.194425019587612</v>
      </c>
      <c r="C101" s="26">
        <f t="shared" si="42"/>
        <v>96</v>
      </c>
      <c r="D101" s="25">
        <f t="shared" si="27"/>
        <v>0.41411439198562289</v>
      </c>
      <c r="E101" s="25">
        <f t="shared" si="43"/>
        <v>2.1795360264171377E-3</v>
      </c>
      <c r="F101" s="25">
        <f t="shared" si="28"/>
        <v>1.9104216116189049E-3</v>
      </c>
      <c r="G101" s="30">
        <f t="shared" si="29"/>
        <v>8.7648858410501201E-6</v>
      </c>
      <c r="H101" s="9">
        <f>'hours (3)'!$K101</f>
        <v>96.30106796777963</v>
      </c>
      <c r="I101" s="7">
        <f t="shared" si="30"/>
        <v>4.2</v>
      </c>
      <c r="J101" s="9">
        <f t="shared" si="31"/>
        <v>8.8473645208032609E-2</v>
      </c>
      <c r="K101" s="18">
        <f t="shared" si="44"/>
        <v>2.2254731754143002E-3</v>
      </c>
      <c r="L101" s="19">
        <f t="shared" si="32"/>
        <v>-3.2951698095819298E-3</v>
      </c>
      <c r="M101" s="19">
        <f t="shared" si="45"/>
        <v>5.1907362610400923E-2</v>
      </c>
      <c r="N101" s="19">
        <f t="shared" si="46"/>
        <v>3.4248190962769209E-2</v>
      </c>
      <c r="O101" s="19">
        <f t="shared" si="33"/>
        <v>7.1415760533044548E-7</v>
      </c>
      <c r="P101" s="21">
        <f t="shared" si="34"/>
        <v>34.395599313422814</v>
      </c>
      <c r="Q101" s="9">
        <f t="shared" si="47"/>
        <v>0.35716737144525623</v>
      </c>
      <c r="R101" s="9">
        <f t="shared" si="35"/>
        <v>5.8647761520302559</v>
      </c>
      <c r="S101" s="6">
        <f t="shared" si="48"/>
        <v>2.4417422166136224E-2</v>
      </c>
      <c r="T101" s="6">
        <f t="shared" si="36"/>
        <v>2.3344329858197368E-2</v>
      </c>
      <c r="U101" s="6">
        <f t="shared" si="37"/>
        <v>0.5248692202057581</v>
      </c>
      <c r="V101" s="6">
        <f t="shared" si="38"/>
        <v>3.1312172828457251E-3</v>
      </c>
      <c r="W101" s="6">
        <f t="shared" si="39"/>
        <v>-0.14793774531091375</v>
      </c>
      <c r="X101" s="6">
        <f t="shared" si="40"/>
        <v>-0.14480652802806784</v>
      </c>
      <c r="Y101">
        <f t="shared" si="41"/>
        <v>0.7403016523790289</v>
      </c>
      <c r="AA101" s="43">
        <f t="shared" si="49"/>
        <v>96</v>
      </c>
      <c r="AB101" s="6">
        <f t="shared" si="50"/>
        <v>0.99856251836235566</v>
      </c>
      <c r="AC101" s="6">
        <f>VLOOKUP($C101,'hours (1)'!$A$19:$P$103,16)</f>
        <v>0.16278583426161031</v>
      </c>
      <c r="AD101" s="6">
        <f t="shared" si="51"/>
        <v>0.99912284672141283</v>
      </c>
    </row>
    <row r="102" spans="1:30" x14ac:dyDescent="0.25">
      <c r="A102" s="39">
        <f>'hours (1)'!$A102*'hours (1)'!$B102/'hours (1)'!$A$105</f>
        <v>1.3602345797954579E-4</v>
      </c>
      <c r="B102" s="9">
        <f>'hours (3)'!$E102</f>
        <v>96.194425019587612</v>
      </c>
      <c r="C102" s="26">
        <f t="shared" si="42"/>
        <v>98</v>
      </c>
      <c r="D102" s="25">
        <f t="shared" si="27"/>
        <v>0.40566307786346728</v>
      </c>
      <c r="E102" s="25">
        <f t="shared" si="43"/>
        <v>2.1346909041957346E-3</v>
      </c>
      <c r="F102" s="25">
        <f t="shared" si="28"/>
        <v>1.8710686203117519E-3</v>
      </c>
      <c r="G102" s="30">
        <f t="shared" si="29"/>
        <v>8.7852292003275961E-6</v>
      </c>
      <c r="H102" s="9">
        <f>'hours (3)'!$K102</f>
        <v>98.30106796777963</v>
      </c>
      <c r="I102" s="7">
        <f t="shared" si="30"/>
        <v>4.2</v>
      </c>
      <c r="J102" s="9">
        <f t="shared" si="31"/>
        <v>8.665394981274134E-2</v>
      </c>
      <c r="K102" s="18">
        <f t="shared" si="44"/>
        <v>2.1797004113315792E-3</v>
      </c>
      <c r="L102" s="19">
        <f t="shared" si="32"/>
        <v>-3.4269483069612749E-3</v>
      </c>
      <c r="M102" s="19">
        <f t="shared" si="45"/>
        <v>5.1976901847488405E-2</v>
      </c>
      <c r="N102" s="19">
        <f t="shared" si="46"/>
        <v>3.43276812454716E-2</v>
      </c>
      <c r="O102" s="19">
        <f t="shared" si="33"/>
        <v>8.0023479488711136E-7</v>
      </c>
      <c r="P102" s="21">
        <f t="shared" si="34"/>
        <v>34.423178030947916</v>
      </c>
      <c r="Q102" s="9">
        <f t="shared" si="47"/>
        <v>0.35018111951978875</v>
      </c>
      <c r="R102" s="9">
        <f t="shared" si="35"/>
        <v>5.8671268974642024</v>
      </c>
      <c r="S102" s="6">
        <f t="shared" si="48"/>
        <v>2.4407638988668118E-2</v>
      </c>
      <c r="T102" s="6">
        <f t="shared" si="36"/>
        <v>2.3356379450812502E-2</v>
      </c>
      <c r="U102" s="6">
        <f t="shared" si="37"/>
        <v>0.52431381248293674</v>
      </c>
      <c r="V102" s="6">
        <f t="shared" si="38"/>
        <v>3.0674127956545195E-3</v>
      </c>
      <c r="W102" s="6">
        <f t="shared" si="39"/>
        <v>-0.14707245262338886</v>
      </c>
      <c r="X102" s="6">
        <f t="shared" si="40"/>
        <v>-0.14400503982773447</v>
      </c>
      <c r="Y102">
        <f t="shared" si="41"/>
        <v>0.74178478039752949</v>
      </c>
      <c r="AA102" s="43">
        <f t="shared" si="49"/>
        <v>98</v>
      </c>
      <c r="AB102" s="6">
        <f t="shared" si="50"/>
        <v>0.99862158157690917</v>
      </c>
      <c r="AC102" s="6">
        <f>VLOOKUP($C102,'hours (1)'!$A$19:$P$103,16)</f>
        <v>0.31030432072726227</v>
      </c>
      <c r="AD102" s="6">
        <f t="shared" si="51"/>
        <v>0.99916220837934644</v>
      </c>
    </row>
    <row r="103" spans="1:30" x14ac:dyDescent="0.25">
      <c r="A103" s="39">
        <f>'hours (1)'!$A103*'hours (1)'!$B103/'hours (1)'!$A$105</f>
        <v>3.2055704739297011E-3</v>
      </c>
      <c r="B103" s="9">
        <f>'hours (3)'!$E103</f>
        <v>97.194425019587612</v>
      </c>
      <c r="C103" s="26">
        <f t="shared" si="42"/>
        <v>99</v>
      </c>
      <c r="D103" s="25">
        <f t="shared" si="27"/>
        <v>0.40156547101636159</v>
      </c>
      <c r="E103" s="25">
        <f t="shared" si="43"/>
        <v>2.1129533536641612E-3</v>
      </c>
      <c r="F103" s="25">
        <f t="shared" si="28"/>
        <v>1.8519939211325417E-3</v>
      </c>
      <c r="G103" s="30">
        <f t="shared" si="29"/>
        <v>8.7950897838721566E-6</v>
      </c>
      <c r="H103" s="9">
        <f>'hours (3)'!$K103</f>
        <v>99.30106796777963</v>
      </c>
      <c r="I103" s="7">
        <f t="shared" si="30"/>
        <v>4.2</v>
      </c>
      <c r="J103" s="9">
        <f t="shared" si="31"/>
        <v>8.5771887599591146E-2</v>
      </c>
      <c r="K103" s="18">
        <f t="shared" si="44"/>
        <v>2.1575129475982086E-3</v>
      </c>
      <c r="L103" s="19">
        <f t="shared" si="32"/>
        <v>-3.4908284623938468E-3</v>
      </c>
      <c r="M103" s="19">
        <f t="shared" si="45"/>
        <v>5.2010607002359474E-2</v>
      </c>
      <c r="N103" s="19">
        <f t="shared" si="46"/>
        <v>3.4366210800147234E-2</v>
      </c>
      <c r="O103" s="19">
        <f t="shared" si="33"/>
        <v>8.4425529812970357E-7</v>
      </c>
      <c r="P103" s="21">
        <f t="shared" si="34"/>
        <v>34.436508895647307</v>
      </c>
      <c r="Q103" s="9">
        <f t="shared" si="47"/>
        <v>0.34678890771669219</v>
      </c>
      <c r="R103" s="9">
        <f t="shared" si="35"/>
        <v>5.8682628516152295</v>
      </c>
      <c r="S103" s="6">
        <f t="shared" si="48"/>
        <v>2.4402914258449478E-2</v>
      </c>
      <c r="T103" s="6">
        <f t="shared" si="36"/>
        <v>2.336224130903012E-2</v>
      </c>
      <c r="U103" s="6">
        <f t="shared" si="37"/>
        <v>0.52404528276951479</v>
      </c>
      <c r="V103" s="6">
        <f t="shared" si="38"/>
        <v>3.0364758212368644E-3</v>
      </c>
      <c r="W103" s="6">
        <f t="shared" si="39"/>
        <v>-0.14665432641065415</v>
      </c>
      <c r="X103" s="6">
        <f t="shared" si="40"/>
        <v>-0.14361785058941726</v>
      </c>
      <c r="Y103">
        <f t="shared" si="41"/>
        <v>0.74250466156377259</v>
      </c>
      <c r="AA103" s="43">
        <f t="shared" si="49"/>
        <v>99</v>
      </c>
      <c r="AB103" s="6">
        <f t="shared" si="50"/>
        <v>0.99999999999999956</v>
      </c>
      <c r="AC103" s="6">
        <f>VLOOKUP($C103,'hours (1)'!$A$19:$P$103,16)</f>
        <v>0.28300001813675729</v>
      </c>
      <c r="AD103" s="6">
        <f t="shared" si="51"/>
        <v>1</v>
      </c>
    </row>
  </sheetData>
  <mergeCells count="5">
    <mergeCell ref="G14:J14"/>
    <mergeCell ref="C15:G15"/>
    <mergeCell ref="H15:X15"/>
    <mergeCell ref="Y17:Z17"/>
    <mergeCell ref="E17:F17"/>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5"/>
  <sheetViews>
    <sheetView zoomScale="125" zoomScaleNormal="125" zoomScalePageLayoutView="125" workbookViewId="0"/>
  </sheetViews>
  <sheetFormatPr defaultColWidth="11" defaultRowHeight="15.75" x14ac:dyDescent="0.25"/>
  <cols>
    <col min="1" max="1" width="32.375" bestFit="1" customWidth="1"/>
    <col min="2" max="2" width="11.375" customWidth="1"/>
    <col min="5" max="7" width="7.125" customWidth="1"/>
  </cols>
  <sheetData>
    <row r="1" spans="1:14" x14ac:dyDescent="0.25">
      <c r="A1" s="5" t="str">
        <f>"Desired hours: "&amp;VLOOKUP($C$1,ParametersTax!$B$16:$G$20,6)&amp;" group"</f>
        <v>Desired hours: Without ESI spouse group</v>
      </c>
      <c r="C1" s="2">
        <v>4</v>
      </c>
    </row>
    <row r="3" spans="1:14" x14ac:dyDescent="0.25">
      <c r="A3" s="1" t="s">
        <v>0</v>
      </c>
    </row>
    <row r="4" spans="1:14" x14ac:dyDescent="0.25">
      <c r="A4" t="s">
        <v>2</v>
      </c>
      <c r="B4" s="9">
        <f>ParametersOther!$B$4</f>
        <v>9.4905032911790893E-2</v>
      </c>
    </row>
    <row r="5" spans="1:14" x14ac:dyDescent="0.25">
      <c r="A5" t="s">
        <v>1</v>
      </c>
      <c r="B5" s="9">
        <f>ParametersOther!$B$5</f>
        <v>0.25</v>
      </c>
    </row>
    <row r="6" spans="1:14" x14ac:dyDescent="0.25">
      <c r="A6" t="s">
        <v>27</v>
      </c>
      <c r="B6" s="9">
        <f>ParametersOther!B6</f>
        <v>0.5</v>
      </c>
    </row>
    <row r="7" spans="1:14" x14ac:dyDescent="0.25">
      <c r="B7" s="7"/>
    </row>
    <row r="8" spans="1:14" x14ac:dyDescent="0.25">
      <c r="B8" s="9"/>
    </row>
    <row r="9" spans="1:14" x14ac:dyDescent="0.25">
      <c r="A9" t="s">
        <v>3</v>
      </c>
      <c r="B9" s="7">
        <f>SUMPRODUCT($A$46:$A$103,$B$46:$B$103)/SUM($B$46:$B$103)</f>
        <v>43.288296761716524</v>
      </c>
    </row>
    <row r="10" spans="1:14" x14ac:dyDescent="0.25">
      <c r="A10" t="s">
        <v>17</v>
      </c>
      <c r="B10" s="7">
        <f>SUMPRODUCT($A$19:$A$45,$B$19:$B$45)/SUM($B$19:$B$45)</f>
        <v>22.693124757509004</v>
      </c>
    </row>
    <row r="11" spans="1:14" x14ac:dyDescent="0.25">
      <c r="A11" t="s">
        <v>6</v>
      </c>
      <c r="B11" s="7">
        <f>ParametersOther!B16</f>
        <v>4.1410920000000004</v>
      </c>
    </row>
    <row r="12" spans="1:14" x14ac:dyDescent="0.25">
      <c r="A12" t="s">
        <v>67</v>
      </c>
      <c r="B12" s="14">
        <f>VLOOKUP($C$1,ParametersTax!$B$16:$E$20,3)</f>
        <v>8.0156553713026449E-3</v>
      </c>
    </row>
    <row r="13" spans="1:14" x14ac:dyDescent="0.25">
      <c r="A13" t="s">
        <v>39</v>
      </c>
      <c r="B13" s="7">
        <f>VLOOKUP($C$1,ParametersTax!$B$16:$E$20,2)</f>
        <v>6.4000000032026785</v>
      </c>
    </row>
    <row r="14" spans="1:14" x14ac:dyDescent="0.25">
      <c r="A14" t="s">
        <v>9</v>
      </c>
      <c r="B14" s="7">
        <f>ParametersOther!$B$11</f>
        <v>29</v>
      </c>
    </row>
    <row r="15" spans="1:14" x14ac:dyDescent="0.25">
      <c r="A15" t="s">
        <v>13</v>
      </c>
      <c r="B15" s="7">
        <f>ParametersOther!B17</f>
        <v>34.999000000000002</v>
      </c>
    </row>
    <row r="16" spans="1:14" x14ac:dyDescent="0.25">
      <c r="A16" t="s">
        <v>68</v>
      </c>
      <c r="B16" s="14">
        <f>ParametersOther!$B$21</f>
        <v>0.25</v>
      </c>
      <c r="N16" s="6">
        <f>SUMPRODUCT(N$19:N$103,$O$19:$O$103)/$B$105</f>
        <v>0.75224551529659045</v>
      </c>
    </row>
    <row r="17" spans="1:15" x14ac:dyDescent="0.25">
      <c r="C17" t="s">
        <v>21</v>
      </c>
      <c r="F17" s="95" t="s">
        <v>70</v>
      </c>
      <c r="G17" s="95"/>
      <c r="H17" s="95" t="s">
        <v>41</v>
      </c>
      <c r="I17" s="95"/>
      <c r="M17" s="6">
        <f>SUMPRODUCT(M$19:M$103,$B$19:$B$103)/$B$105</f>
        <v>0.82843963962161182</v>
      </c>
      <c r="N17" s="6">
        <f>SUMPRODUCT(N$19:N$103,$B$19:$B$103)/$B$105</f>
        <v>0.77291860182096239</v>
      </c>
    </row>
    <row r="18" spans="1:15" x14ac:dyDescent="0.25">
      <c r="A18" s="10" t="s">
        <v>4</v>
      </c>
      <c r="B18" s="1" t="s">
        <v>5</v>
      </c>
      <c r="C18" s="10" t="s">
        <v>22</v>
      </c>
      <c r="D18" s="10" t="s">
        <v>23</v>
      </c>
      <c r="E18" s="10" t="s">
        <v>8</v>
      </c>
      <c r="F18" s="10" t="s">
        <v>71</v>
      </c>
      <c r="G18" s="10" t="s">
        <v>72</v>
      </c>
      <c r="H18" s="10" t="s">
        <v>73</v>
      </c>
      <c r="I18" s="10" t="s">
        <v>10</v>
      </c>
      <c r="J18" s="10" t="s">
        <v>74</v>
      </c>
      <c r="K18" s="10" t="s">
        <v>11</v>
      </c>
      <c r="L18" s="11" t="s">
        <v>12</v>
      </c>
      <c r="M18" s="10" t="s">
        <v>15</v>
      </c>
      <c r="N18" s="10" t="s">
        <v>14</v>
      </c>
      <c r="O18" s="11" t="s">
        <v>16</v>
      </c>
    </row>
    <row r="19" spans="1:15" x14ac:dyDescent="0.25">
      <c r="A19">
        <f>'hours (1)'!A19</f>
        <v>8</v>
      </c>
      <c r="B19">
        <f>'hours (1)'!B19</f>
        <v>576349.6</v>
      </c>
      <c r="C19" s="6">
        <f>B19/$B$105</f>
        <v>4.231363238139366E-3</v>
      </c>
      <c r="D19" s="6">
        <v>0</v>
      </c>
      <c r="E19" s="9">
        <f>$A19-$B$5*((1-$B$16)*$B$4*$B$9+$B$11)</f>
        <v>6.1944250195876105</v>
      </c>
      <c r="F19" s="7">
        <f t="shared" ref="F19:F50" si="0">$A19-$B$5*$B$12*$B$4*$B$9</f>
        <v>7.9917673663909099</v>
      </c>
      <c r="G19" s="7">
        <f>F19+$B$5*$B$13*(1-$B$16-$B$12)</f>
        <v>9.1789423183909093</v>
      </c>
      <c r="H19" s="7">
        <f>($E19/G19-1+LN(G19/$E19))/$B$5+($B$13+$B$4*$B$9)*(1-$B$16-$B$12)/G19+$B$11/G19</f>
        <v>1.5730491399408826</v>
      </c>
      <c r="I19" s="7">
        <f>($E19/$B$14-1+LN($B$14/$E19))/$B$5+$B$4*$B$9*(1-$B$16-$B$12)/$B$14+$B$11/$B$14</f>
        <v>3.2768972715466873</v>
      </c>
      <c r="J19" t="b">
        <f t="shared" ref="J19:J50" si="1">F19&lt;=$B$14</f>
        <v>1</v>
      </c>
      <c r="K19" s="7">
        <f t="shared" ref="K19:K50" si="2">IF(J19,F19,IF(H19&lt;I19,G19,$B$14))</f>
        <v>7.9917673663909099</v>
      </c>
      <c r="L19" s="7">
        <f>K19-$A19</f>
        <v>-8.2326336090901009E-3</v>
      </c>
      <c r="M19">
        <f t="shared" ref="M19:M50" si="3">IF($A19&gt;$B$15,1,0)</f>
        <v>0</v>
      </c>
      <c r="N19">
        <f t="shared" ref="N19:N50" si="4">IF($K19&gt;$B$15,1,0)</f>
        <v>0</v>
      </c>
      <c r="O19" s="3">
        <f>$B19*$A19/$K19</f>
        <v>576943.3203712285</v>
      </c>
    </row>
    <row r="20" spans="1:15" x14ac:dyDescent="0.25">
      <c r="A20">
        <f>'hours (1)'!A20</f>
        <v>9</v>
      </c>
      <c r="B20">
        <f>'hours (1)'!B20</f>
        <v>69603.850000000006</v>
      </c>
      <c r="C20" s="6">
        <f t="shared" ref="C20:C83" si="5">B20/$B$105+C19</f>
        <v>4.7423710919193753E-3</v>
      </c>
      <c r="D20" s="6">
        <f>$A19*$B19/$A$105+D19</f>
        <v>8.5148840514222583E-4</v>
      </c>
      <c r="E20" s="9">
        <f t="shared" ref="E20:E83" si="6">$A20-$B$5*((1-$B$16)*$B$4*$B$9+$B$11)</f>
        <v>7.1944250195876105</v>
      </c>
      <c r="F20" s="7">
        <f t="shared" si="0"/>
        <v>8.9917673663909099</v>
      </c>
      <c r="G20" s="7">
        <f t="shared" ref="G20:G83" si="7">F20+$B$5*$B$13*(1-$B$16-$B$12)</f>
        <v>10.178942318390909</v>
      </c>
      <c r="H20" s="7">
        <f t="shared" ref="H20:H83" si="8">($E20/G20-1+LN(G20/$E20))/$B$5+($B$13+$B$4*$B$9)*(1-$B$16-$B$12)/G20+$B$11/G20</f>
        <v>1.3880587378718396</v>
      </c>
      <c r="I20" s="7">
        <f t="shared" ref="I20:I83" si="9">($E20/$B$14-1+LN($B$14/$E20))/$B$5+$B$4*$B$9*(1-$B$16-$B$12)/$B$14+$B$11/$B$14</f>
        <v>2.8162014015817749</v>
      </c>
      <c r="J20" t="b">
        <f t="shared" si="1"/>
        <v>1</v>
      </c>
      <c r="K20" s="7">
        <f t="shared" si="2"/>
        <v>8.9917673663909099</v>
      </c>
      <c r="L20" s="7">
        <f t="shared" ref="L20:L83" si="10">K20-$A20</f>
        <v>-8.2326336090901009E-3</v>
      </c>
      <c r="M20">
        <f t="shared" si="3"/>
        <v>0</v>
      </c>
      <c r="N20">
        <f t="shared" si="4"/>
        <v>0</v>
      </c>
      <c r="O20" s="3">
        <f t="shared" ref="O20:O83" si="11">$B20*$A20/$K20</f>
        <v>69667.57751556873</v>
      </c>
    </row>
    <row r="21" spans="1:15" x14ac:dyDescent="0.25">
      <c r="A21">
        <f>'hours (1)'!A21</f>
        <v>10</v>
      </c>
      <c r="B21">
        <f>'hours (1)'!B21</f>
        <v>1164544</v>
      </c>
      <c r="C21" s="6">
        <f t="shared" si="5"/>
        <v>1.3292058071481382E-2</v>
      </c>
      <c r="D21" s="6">
        <f t="shared" ref="D21:D84" si="12">$A20*$B20/$A$105+D20</f>
        <v>9.6717379840317549E-4</v>
      </c>
      <c r="E21" s="9">
        <f t="shared" si="6"/>
        <v>8.1944250195876105</v>
      </c>
      <c r="F21" s="7">
        <f t="shared" si="0"/>
        <v>9.9917673663909099</v>
      </c>
      <c r="G21" s="7">
        <f t="shared" si="7"/>
        <v>11.178942318390909</v>
      </c>
      <c r="H21" s="7">
        <f t="shared" si="8"/>
        <v>1.2423112442666078</v>
      </c>
      <c r="I21" s="7">
        <f t="shared" si="9"/>
        <v>2.4335419395436757</v>
      </c>
      <c r="J21" t="b">
        <f t="shared" si="1"/>
        <v>1</v>
      </c>
      <c r="K21" s="7">
        <f t="shared" si="2"/>
        <v>9.9917673663909099</v>
      </c>
      <c r="L21" s="7">
        <f t="shared" si="10"/>
        <v>-8.2326336090901009E-3</v>
      </c>
      <c r="M21">
        <f t="shared" si="3"/>
        <v>0</v>
      </c>
      <c r="N21">
        <f t="shared" si="4"/>
        <v>0</v>
      </c>
      <c r="O21" s="3">
        <f t="shared" si="11"/>
        <v>1165503.516342015</v>
      </c>
    </row>
    <row r="22" spans="1:15" x14ac:dyDescent="0.25">
      <c r="A22">
        <f>'hours (1)'!A22</f>
        <v>11</v>
      </c>
      <c r="B22">
        <f>'hours (1)'!B22</f>
        <v>32083.200000000001</v>
      </c>
      <c r="C22" s="6">
        <f t="shared" si="5"/>
        <v>1.3527602041741573E-2</v>
      </c>
      <c r="D22" s="6">
        <f t="shared" si="12"/>
        <v>3.1177689260781759E-3</v>
      </c>
      <c r="E22" s="9">
        <f t="shared" si="6"/>
        <v>9.1944250195876105</v>
      </c>
      <c r="F22" s="7">
        <f t="shared" si="0"/>
        <v>10.99176736639091</v>
      </c>
      <c r="G22" s="7">
        <f t="shared" si="7"/>
        <v>12.178942318390909</v>
      </c>
      <c r="H22" s="7">
        <f t="shared" si="8"/>
        <v>1.1244443867805904</v>
      </c>
      <c r="I22" s="7">
        <f t="shared" si="9"/>
        <v>2.1108998666041403</v>
      </c>
      <c r="J22" t="b">
        <f t="shared" si="1"/>
        <v>1</v>
      </c>
      <c r="K22" s="7">
        <f t="shared" si="2"/>
        <v>10.99176736639091</v>
      </c>
      <c r="L22" s="7">
        <f t="shared" si="10"/>
        <v>-8.2326336090901009E-3</v>
      </c>
      <c r="M22">
        <f t="shared" si="3"/>
        <v>0</v>
      </c>
      <c r="N22">
        <f t="shared" si="4"/>
        <v>0</v>
      </c>
      <c r="O22" s="3">
        <f t="shared" si="11"/>
        <v>32107.229732599219</v>
      </c>
    </row>
    <row r="23" spans="1:15" x14ac:dyDescent="0.25">
      <c r="A23">
        <f>'hours (1)'!A23</f>
        <v>12</v>
      </c>
      <c r="B23">
        <f>'hours (1)'!B23</f>
        <v>752013.2</v>
      </c>
      <c r="C23" s="6">
        <f t="shared" si="5"/>
        <v>1.9048627837674366E-2</v>
      </c>
      <c r="D23" s="6">
        <f t="shared" si="12"/>
        <v>3.1829427374242864E-3</v>
      </c>
      <c r="E23" s="9">
        <f t="shared" si="6"/>
        <v>10.19442501958761</v>
      </c>
      <c r="F23" s="7">
        <f t="shared" si="0"/>
        <v>11.99176736639091</v>
      </c>
      <c r="G23" s="7">
        <f t="shared" si="7"/>
        <v>13.178942318390909</v>
      </c>
      <c r="H23" s="7">
        <f t="shared" si="8"/>
        <v>1.027117090836577</v>
      </c>
      <c r="I23" s="7">
        <f t="shared" si="9"/>
        <v>1.8358561814243917</v>
      </c>
      <c r="J23" t="b">
        <f t="shared" si="1"/>
        <v>1</v>
      </c>
      <c r="K23" s="7">
        <f t="shared" si="2"/>
        <v>11.99176736639091</v>
      </c>
      <c r="L23" s="7">
        <f t="shared" si="10"/>
        <v>-8.2326336090901009E-3</v>
      </c>
      <c r="M23">
        <f t="shared" si="3"/>
        <v>0</v>
      </c>
      <c r="N23">
        <f t="shared" si="4"/>
        <v>0</v>
      </c>
      <c r="O23" s="3">
        <f t="shared" si="11"/>
        <v>752529.47495394456</v>
      </c>
    </row>
    <row r="24" spans="1:15" x14ac:dyDescent="0.25">
      <c r="A24">
        <f>'hours (1)'!A24</f>
        <v>13</v>
      </c>
      <c r="B24">
        <f>'hours (1)'!B24</f>
        <v>107451.2</v>
      </c>
      <c r="C24" s="6">
        <f t="shared" si="5"/>
        <v>1.983749809554209E-2</v>
      </c>
      <c r="D24" s="6">
        <f t="shared" si="12"/>
        <v>4.8494586514994456E-3</v>
      </c>
      <c r="E24" s="9">
        <f t="shared" si="6"/>
        <v>11.19442501958761</v>
      </c>
      <c r="F24" s="7">
        <f t="shared" si="0"/>
        <v>12.99176736639091</v>
      </c>
      <c r="G24" s="7">
        <f t="shared" si="7"/>
        <v>14.178942318390909</v>
      </c>
      <c r="H24" s="7">
        <f t="shared" si="8"/>
        <v>0.94536816151867331</v>
      </c>
      <c r="I24" s="7">
        <f t="shared" si="9"/>
        <v>1.5994876794870407</v>
      </c>
      <c r="J24" t="b">
        <f t="shared" si="1"/>
        <v>1</v>
      </c>
      <c r="K24" s="7">
        <f t="shared" si="2"/>
        <v>12.99176736639091</v>
      </c>
      <c r="L24" s="7">
        <f t="shared" si="10"/>
        <v>-8.2326336090901009E-3</v>
      </c>
      <c r="M24">
        <f t="shared" si="3"/>
        <v>0</v>
      </c>
      <c r="N24">
        <f t="shared" si="4"/>
        <v>0</v>
      </c>
      <c r="O24" s="3">
        <f t="shared" si="11"/>
        <v>107519.28976296369</v>
      </c>
    </row>
    <row r="25" spans="1:15" x14ac:dyDescent="0.25">
      <c r="A25">
        <f>'hours (1)'!A25</f>
        <v>14</v>
      </c>
      <c r="B25">
        <f>'hours (1)'!B25</f>
        <v>133373.20000000001</v>
      </c>
      <c r="C25" s="6">
        <f t="shared" si="5"/>
        <v>2.0816678883440631E-2</v>
      </c>
      <c r="D25" s="6">
        <f t="shared" si="12"/>
        <v>5.107421626996878E-3</v>
      </c>
      <c r="E25" s="9">
        <f t="shared" si="6"/>
        <v>12.19442501958761</v>
      </c>
      <c r="F25" s="7">
        <f t="shared" si="0"/>
        <v>13.99176736639091</v>
      </c>
      <c r="G25" s="7">
        <f t="shared" si="7"/>
        <v>15.178942318390909</v>
      </c>
      <c r="H25" s="7">
        <f t="shared" si="8"/>
        <v>0.87572084741453549</v>
      </c>
      <c r="I25" s="7">
        <f t="shared" si="9"/>
        <v>1.3951667402701524</v>
      </c>
      <c r="J25" t="b">
        <f t="shared" si="1"/>
        <v>1</v>
      </c>
      <c r="K25" s="7">
        <f t="shared" si="2"/>
        <v>13.99176736639091</v>
      </c>
      <c r="L25" s="7">
        <f t="shared" si="10"/>
        <v>-8.2326336090901009E-3</v>
      </c>
      <c r="M25">
        <f t="shared" si="3"/>
        <v>0</v>
      </c>
      <c r="N25">
        <f t="shared" si="4"/>
        <v>0</v>
      </c>
      <c r="O25" s="3">
        <f t="shared" si="11"/>
        <v>133451.67562499573</v>
      </c>
    </row>
    <row r="26" spans="1:15" x14ac:dyDescent="0.25">
      <c r="A26">
        <f>'hours (1)'!A26</f>
        <v>15</v>
      </c>
      <c r="B26">
        <f>'hours (1)'!B26</f>
        <v>1595177</v>
      </c>
      <c r="C26" s="6">
        <f t="shared" si="5"/>
        <v>3.2527927257908908E-2</v>
      </c>
      <c r="D26" s="6">
        <f t="shared" si="12"/>
        <v>5.4522471172448999E-3</v>
      </c>
      <c r="E26" s="9">
        <f t="shared" si="6"/>
        <v>13.19442501958761</v>
      </c>
      <c r="F26" s="7">
        <f t="shared" si="0"/>
        <v>14.99176736639091</v>
      </c>
      <c r="G26" s="7">
        <f t="shared" si="7"/>
        <v>16.178942318390909</v>
      </c>
      <c r="H26" s="7">
        <f t="shared" si="8"/>
        <v>0.81566458569737721</v>
      </c>
      <c r="I26" s="7">
        <f t="shared" si="9"/>
        <v>1.2178357280059697</v>
      </c>
      <c r="J26" t="b">
        <f t="shared" si="1"/>
        <v>1</v>
      </c>
      <c r="K26" s="7">
        <f t="shared" si="2"/>
        <v>14.99176736639091</v>
      </c>
      <c r="L26" s="7">
        <f t="shared" si="10"/>
        <v>-8.2326336090901009E-3</v>
      </c>
      <c r="M26">
        <f t="shared" si="3"/>
        <v>0</v>
      </c>
      <c r="N26">
        <f t="shared" si="4"/>
        <v>0</v>
      </c>
      <c r="O26" s="3">
        <f t="shared" si="11"/>
        <v>1596052.9812943796</v>
      </c>
    </row>
    <row r="27" spans="1:15" x14ac:dyDescent="0.25">
      <c r="A27">
        <f>'hours (1)'!A27</f>
        <v>16</v>
      </c>
      <c r="B27">
        <f>'hours (1)'!B27</f>
        <v>717694.3</v>
      </c>
      <c r="C27" s="6">
        <f t="shared" si="5"/>
        <v>3.7796995332636758E-2</v>
      </c>
      <c r="D27" s="6">
        <f t="shared" si="12"/>
        <v>9.8710323464580828E-3</v>
      </c>
      <c r="E27" s="9">
        <f t="shared" si="6"/>
        <v>14.19442501958761</v>
      </c>
      <c r="F27" s="7">
        <f t="shared" si="0"/>
        <v>15.99176736639091</v>
      </c>
      <c r="G27" s="7">
        <f t="shared" si="7"/>
        <v>17.178942318390909</v>
      </c>
      <c r="H27" s="7">
        <f t="shared" si="8"/>
        <v>0.76334026677463807</v>
      </c>
      <c r="I27" s="7">
        <f t="shared" si="9"/>
        <v>1.0635472029454407</v>
      </c>
      <c r="J27" t="b">
        <f t="shared" si="1"/>
        <v>1</v>
      </c>
      <c r="K27" s="7">
        <f t="shared" si="2"/>
        <v>15.99176736639091</v>
      </c>
      <c r="L27" s="7">
        <f t="shared" si="10"/>
        <v>-8.2326336090901009E-3</v>
      </c>
      <c r="M27">
        <f t="shared" si="3"/>
        <v>0</v>
      </c>
      <c r="N27">
        <f t="shared" si="4"/>
        <v>0</v>
      </c>
      <c r="O27" s="3">
        <f t="shared" si="11"/>
        <v>718063.77224655426</v>
      </c>
    </row>
    <row r="28" spans="1:15" x14ac:dyDescent="0.25">
      <c r="A28">
        <f>'hours (1)'!A28</f>
        <v>17</v>
      </c>
      <c r="B28">
        <f>'hours (1)'!B28</f>
        <v>121287.4</v>
      </c>
      <c r="C28" s="6">
        <f t="shared" si="5"/>
        <v>3.868744627701063E-2</v>
      </c>
      <c r="D28" s="6">
        <f t="shared" si="12"/>
        <v>1.1991649329229186E-2</v>
      </c>
      <c r="E28" s="9">
        <f t="shared" si="6"/>
        <v>15.19442501958761</v>
      </c>
      <c r="F28" s="7">
        <f t="shared" si="0"/>
        <v>16.99176736639091</v>
      </c>
      <c r="G28" s="7">
        <f t="shared" si="7"/>
        <v>18.178942318390909</v>
      </c>
      <c r="H28" s="7">
        <f t="shared" si="8"/>
        <v>0.71734129281556225</v>
      </c>
      <c r="I28" s="7">
        <f t="shared" si="9"/>
        <v>0.92916102829582015</v>
      </c>
      <c r="J28" t="b">
        <f t="shared" si="1"/>
        <v>1</v>
      </c>
      <c r="K28" s="7">
        <f t="shared" si="2"/>
        <v>16.99176736639091</v>
      </c>
      <c r="L28" s="7">
        <f t="shared" si="10"/>
        <v>-8.2326336090901009E-3</v>
      </c>
      <c r="M28">
        <f t="shared" si="3"/>
        <v>0</v>
      </c>
      <c r="N28">
        <f t="shared" si="4"/>
        <v>0</v>
      </c>
      <c r="O28" s="3">
        <f t="shared" si="11"/>
        <v>121346.16461842186</v>
      </c>
    </row>
    <row r="29" spans="1:15" x14ac:dyDescent="0.25">
      <c r="A29">
        <f>'hours (1)'!A29</f>
        <v>18</v>
      </c>
      <c r="B29">
        <f>'hours (1)'!B29</f>
        <v>354843.3</v>
      </c>
      <c r="C29" s="6">
        <f t="shared" si="5"/>
        <v>4.1292585405969959E-2</v>
      </c>
      <c r="D29" s="6">
        <f t="shared" si="12"/>
        <v>1.2372423396615413E-2</v>
      </c>
      <c r="E29" s="9">
        <f t="shared" si="6"/>
        <v>16.194425019587609</v>
      </c>
      <c r="F29" s="7">
        <f t="shared" si="0"/>
        <v>17.99176736639091</v>
      </c>
      <c r="G29" s="7">
        <f t="shared" si="7"/>
        <v>19.178942318390909</v>
      </c>
      <c r="H29" s="7">
        <f t="shared" si="8"/>
        <v>0.67658349796449346</v>
      </c>
      <c r="I29" s="7">
        <f t="shared" si="9"/>
        <v>0.81213821129699915</v>
      </c>
      <c r="J29" t="b">
        <f t="shared" si="1"/>
        <v>1</v>
      </c>
      <c r="K29" s="7">
        <f t="shared" si="2"/>
        <v>17.99176736639091</v>
      </c>
      <c r="L29" s="7">
        <f t="shared" si="10"/>
        <v>-8.2326336090901009E-3</v>
      </c>
      <c r="M29">
        <f t="shared" si="3"/>
        <v>0</v>
      </c>
      <c r="N29">
        <f t="shared" si="4"/>
        <v>0</v>
      </c>
      <c r="O29" s="3">
        <f t="shared" si="11"/>
        <v>355005.66842207045</v>
      </c>
    </row>
    <row r="30" spans="1:15" x14ac:dyDescent="0.25">
      <c r="A30">
        <f>'hours (1)'!A30</f>
        <v>19</v>
      </c>
      <c r="B30">
        <f>'hours (1)'!B30</f>
        <v>42924.36</v>
      </c>
      <c r="C30" s="6">
        <f t="shared" si="5"/>
        <v>4.1607721495115609E-2</v>
      </c>
      <c r="D30" s="6">
        <f t="shared" si="12"/>
        <v>1.3551961215472075E-2</v>
      </c>
      <c r="E30" s="9">
        <f t="shared" si="6"/>
        <v>17.194425019587609</v>
      </c>
      <c r="F30" s="7">
        <f t="shared" si="0"/>
        <v>18.99176736639091</v>
      </c>
      <c r="G30" s="7">
        <f t="shared" si="7"/>
        <v>20.178942318390909</v>
      </c>
      <c r="H30" s="7">
        <f t="shared" si="8"/>
        <v>0.64021758668777462</v>
      </c>
      <c r="I30" s="7">
        <f t="shared" si="9"/>
        <v>0.71039662140484749</v>
      </c>
      <c r="J30" t="b">
        <f t="shared" si="1"/>
        <v>1</v>
      </c>
      <c r="K30" s="7">
        <f t="shared" si="2"/>
        <v>18.99176736639091</v>
      </c>
      <c r="L30" s="7">
        <f t="shared" si="10"/>
        <v>-8.2326336090901009E-3</v>
      </c>
      <c r="M30">
        <f t="shared" si="3"/>
        <v>0</v>
      </c>
      <c r="N30">
        <f t="shared" si="4"/>
        <v>0</v>
      </c>
      <c r="O30" s="3">
        <f t="shared" si="11"/>
        <v>42942.967037563554</v>
      </c>
    </row>
    <row r="31" spans="1:15" x14ac:dyDescent="0.25">
      <c r="A31">
        <f>'hours (1)'!A31</f>
        <v>20</v>
      </c>
      <c r="B31">
        <f>'hours (1)'!B31</f>
        <v>5215875</v>
      </c>
      <c r="C31" s="6">
        <f t="shared" si="5"/>
        <v>7.9900906273469186E-2</v>
      </c>
      <c r="D31" s="6">
        <f t="shared" si="12"/>
        <v>1.3702573426776825E-2</v>
      </c>
      <c r="E31" s="9">
        <f t="shared" si="6"/>
        <v>18.194425019587609</v>
      </c>
      <c r="F31" s="7">
        <f t="shared" si="0"/>
        <v>19.99176736639091</v>
      </c>
      <c r="G31" s="7">
        <f t="shared" si="7"/>
        <v>21.178942318390909</v>
      </c>
      <c r="H31" s="7">
        <f t="shared" si="8"/>
        <v>0.60756868648180207</v>
      </c>
      <c r="I31" s="7">
        <f t="shared" si="9"/>
        <v>0.62220755571943787</v>
      </c>
      <c r="J31" t="b">
        <f t="shared" si="1"/>
        <v>1</v>
      </c>
      <c r="K31" s="7">
        <f t="shared" si="2"/>
        <v>19.99176736639091</v>
      </c>
      <c r="L31" s="7">
        <f t="shared" si="10"/>
        <v>-8.2326336090901009E-3</v>
      </c>
      <c r="M31">
        <f t="shared" si="3"/>
        <v>0</v>
      </c>
      <c r="N31">
        <f t="shared" si="4"/>
        <v>0</v>
      </c>
      <c r="O31" s="3">
        <f t="shared" si="11"/>
        <v>5218022.9035364324</v>
      </c>
    </row>
    <row r="32" spans="1:15" x14ac:dyDescent="0.25">
      <c r="A32">
        <f>'hours (1)'!A32</f>
        <v>21</v>
      </c>
      <c r="B32">
        <f>'hours (1)'!B32</f>
        <v>149887.70000000001</v>
      </c>
      <c r="C32" s="6">
        <f t="shared" si="5"/>
        <v>8.1001330917867764E-2</v>
      </c>
      <c r="D32" s="6">
        <f t="shared" si="12"/>
        <v>3.2967170318885394E-2</v>
      </c>
      <c r="E32" s="9">
        <f t="shared" si="6"/>
        <v>19.194425019587609</v>
      </c>
      <c r="F32" s="7">
        <f t="shared" si="0"/>
        <v>20.99176736639091</v>
      </c>
      <c r="G32" s="7">
        <f t="shared" si="7"/>
        <v>22.178942318390909</v>
      </c>
      <c r="H32" s="7">
        <f t="shared" si="8"/>
        <v>0.57809368480772438</v>
      </c>
      <c r="I32" s="7">
        <f t="shared" si="9"/>
        <v>0.54612001518589126</v>
      </c>
      <c r="J32" t="b">
        <f t="shared" si="1"/>
        <v>1</v>
      </c>
      <c r="K32" s="7">
        <f t="shared" si="2"/>
        <v>20.99176736639091</v>
      </c>
      <c r="L32" s="7">
        <f t="shared" si="10"/>
        <v>-8.2326336090901009E-3</v>
      </c>
      <c r="M32">
        <f t="shared" si="3"/>
        <v>0</v>
      </c>
      <c r="N32">
        <f t="shared" si="4"/>
        <v>0</v>
      </c>
      <c r="O32" s="3">
        <f t="shared" si="11"/>
        <v>149946.48354571447</v>
      </c>
    </row>
    <row r="33" spans="1:15" x14ac:dyDescent="0.25">
      <c r="A33">
        <f>'hours (1)'!A33</f>
        <v>22</v>
      </c>
      <c r="B33">
        <f>'hours (1)'!B33</f>
        <v>168577.1</v>
      </c>
      <c r="C33" s="6">
        <f t="shared" si="5"/>
        <v>8.2238966796737367E-2</v>
      </c>
      <c r="D33" s="6">
        <f t="shared" si="12"/>
        <v>3.3548453885988629E-2</v>
      </c>
      <c r="E33" s="9">
        <f t="shared" si="6"/>
        <v>20.194425019587609</v>
      </c>
      <c r="F33" s="7">
        <f t="shared" si="0"/>
        <v>21.99176736639091</v>
      </c>
      <c r="G33" s="7">
        <f t="shared" si="7"/>
        <v>23.178942318390909</v>
      </c>
      <c r="H33" s="7">
        <f t="shared" si="8"/>
        <v>0.55135052249927174</v>
      </c>
      <c r="I33" s="7">
        <f t="shared" si="9"/>
        <v>0.48090423415306927</v>
      </c>
      <c r="J33" t="b">
        <f t="shared" si="1"/>
        <v>1</v>
      </c>
      <c r="K33" s="7">
        <f t="shared" si="2"/>
        <v>21.99176736639091</v>
      </c>
      <c r="L33" s="7">
        <f t="shared" si="10"/>
        <v>-8.2326336090901009E-3</v>
      </c>
      <c r="M33">
        <f t="shared" si="3"/>
        <v>0</v>
      </c>
      <c r="N33">
        <f t="shared" si="4"/>
        <v>0</v>
      </c>
      <c r="O33" s="3">
        <f t="shared" si="11"/>
        <v>168640.20695616506</v>
      </c>
    </row>
    <row r="34" spans="1:15" x14ac:dyDescent="0.25">
      <c r="A34">
        <f>'hours (1)'!A34</f>
        <v>23</v>
      </c>
      <c r="B34">
        <f>'hours (1)'!B34</f>
        <v>157785.9</v>
      </c>
      <c r="C34" s="6">
        <f t="shared" si="5"/>
        <v>8.3397377346092719E-2</v>
      </c>
      <c r="D34" s="6">
        <f t="shared" si="12"/>
        <v>3.4233348915952873E-2</v>
      </c>
      <c r="E34" s="9">
        <f t="shared" si="6"/>
        <v>21.194425019587609</v>
      </c>
      <c r="F34" s="7">
        <f t="shared" si="0"/>
        <v>22.99176736639091</v>
      </c>
      <c r="G34" s="7">
        <f t="shared" si="7"/>
        <v>24.178942318390909</v>
      </c>
      <c r="H34" s="7">
        <f t="shared" si="8"/>
        <v>0.5269757036279471</v>
      </c>
      <c r="I34" s="7">
        <f t="shared" si="9"/>
        <v>0.42550887209544352</v>
      </c>
      <c r="J34" t="b">
        <f t="shared" si="1"/>
        <v>1</v>
      </c>
      <c r="K34" s="7">
        <f t="shared" si="2"/>
        <v>22.99176736639091</v>
      </c>
      <c r="L34" s="7">
        <f t="shared" si="10"/>
        <v>-8.2326336090901009E-3</v>
      </c>
      <c r="M34">
        <f t="shared" si="3"/>
        <v>0</v>
      </c>
      <c r="N34">
        <f t="shared" si="4"/>
        <v>0</v>
      </c>
      <c r="O34" s="3">
        <f t="shared" si="11"/>
        <v>157842.39820140749</v>
      </c>
    </row>
    <row r="35" spans="1:15" x14ac:dyDescent="0.25">
      <c r="A35">
        <f>'hours (1)'!A35</f>
        <v>24</v>
      </c>
      <c r="B35">
        <f>'hours (1)'!B35</f>
        <v>1366080</v>
      </c>
      <c r="C35" s="6">
        <f t="shared" si="5"/>
        <v>9.3426673267105631E-2</v>
      </c>
      <c r="D35" s="6">
        <f t="shared" si="12"/>
        <v>3.4903540211291113E-2</v>
      </c>
      <c r="E35" s="9">
        <f t="shared" si="6"/>
        <v>22.194425019587609</v>
      </c>
      <c r="F35" s="7">
        <f t="shared" si="0"/>
        <v>23.99176736639091</v>
      </c>
      <c r="G35" s="7">
        <f t="shared" si="7"/>
        <v>25.178942318390909</v>
      </c>
      <c r="H35" s="7">
        <f t="shared" si="8"/>
        <v>0.50466756322869855</v>
      </c>
      <c r="I35" s="7">
        <f t="shared" si="9"/>
        <v>0.37902808347305006</v>
      </c>
      <c r="J35" t="b">
        <f t="shared" si="1"/>
        <v>1</v>
      </c>
      <c r="K35" s="7">
        <f t="shared" si="2"/>
        <v>23.99176736639091</v>
      </c>
      <c r="L35" s="7">
        <f t="shared" si="10"/>
        <v>-8.2326336090901009E-3</v>
      </c>
      <c r="M35">
        <f t="shared" si="3"/>
        <v>0</v>
      </c>
      <c r="N35">
        <f t="shared" si="4"/>
        <v>0</v>
      </c>
      <c r="O35" s="3">
        <f t="shared" si="11"/>
        <v>1366548.7623028748</v>
      </c>
    </row>
    <row r="36" spans="1:15" x14ac:dyDescent="0.25">
      <c r="A36">
        <f>'hours (1)'!A36</f>
        <v>25</v>
      </c>
      <c r="B36">
        <f>'hours (1)'!B36</f>
        <v>2788093</v>
      </c>
      <c r="C36" s="6">
        <f t="shared" si="5"/>
        <v>0.11389590622001078</v>
      </c>
      <c r="D36" s="6">
        <f t="shared" si="12"/>
        <v>4.095820536849791E-2</v>
      </c>
      <c r="E36" s="9">
        <f t="shared" si="6"/>
        <v>23.194425019587609</v>
      </c>
      <c r="F36" s="7">
        <f t="shared" si="0"/>
        <v>24.99176736639091</v>
      </c>
      <c r="G36" s="7">
        <f t="shared" si="7"/>
        <v>26.178942318390909</v>
      </c>
      <c r="H36" s="7">
        <f t="shared" si="8"/>
        <v>0.48417364153224163</v>
      </c>
      <c r="I36" s="7">
        <f t="shared" si="9"/>
        <v>0.34067585068249362</v>
      </c>
      <c r="J36" t="b">
        <f t="shared" si="1"/>
        <v>1</v>
      </c>
      <c r="K36" s="7">
        <f t="shared" si="2"/>
        <v>24.99176736639091</v>
      </c>
      <c r="L36" s="7">
        <f t="shared" si="10"/>
        <v>-8.2326336090901009E-3</v>
      </c>
      <c r="M36">
        <f t="shared" si="3"/>
        <v>0</v>
      </c>
      <c r="N36">
        <f t="shared" si="4"/>
        <v>0</v>
      </c>
      <c r="O36" s="3">
        <f t="shared" si="11"/>
        <v>2789011.4363714885</v>
      </c>
    </row>
    <row r="37" spans="1:15" x14ac:dyDescent="0.25">
      <c r="A37">
        <f>'hours (1)'!A37</f>
        <v>26</v>
      </c>
      <c r="B37">
        <f>'hours (1)'!B37</f>
        <v>130005</v>
      </c>
      <c r="C37" s="6">
        <f t="shared" si="5"/>
        <v>0.11485035882616217</v>
      </c>
      <c r="D37" s="6">
        <f t="shared" si="12"/>
        <v>5.3830323599549666E-2</v>
      </c>
      <c r="E37" s="9">
        <f t="shared" si="6"/>
        <v>24.194425019587609</v>
      </c>
      <c r="F37" s="7">
        <f t="shared" si="0"/>
        <v>25.99176736639091</v>
      </c>
      <c r="G37" s="7">
        <f t="shared" si="7"/>
        <v>27.178942318390909</v>
      </c>
      <c r="H37" s="7">
        <f t="shared" si="8"/>
        <v>0.46528103387047948</v>
      </c>
      <c r="I37" s="7">
        <f t="shared" si="9"/>
        <v>0.30976573870050583</v>
      </c>
      <c r="J37" t="b">
        <f t="shared" si="1"/>
        <v>1</v>
      </c>
      <c r="K37" s="7">
        <f t="shared" si="2"/>
        <v>25.99176736639091</v>
      </c>
      <c r="L37" s="7">
        <f t="shared" si="10"/>
        <v>-8.2326336090901009E-3</v>
      </c>
      <c r="M37">
        <f t="shared" si="3"/>
        <v>0</v>
      </c>
      <c r="N37">
        <f t="shared" si="4"/>
        <v>0</v>
      </c>
      <c r="O37" s="3">
        <f t="shared" si="11"/>
        <v>130046.17778976946</v>
      </c>
    </row>
    <row r="38" spans="1:15" x14ac:dyDescent="0.25">
      <c r="A38">
        <f>'hours (1)'!A38</f>
        <v>27</v>
      </c>
      <c r="B38">
        <f>'hours (1)'!B38</f>
        <v>157068.9</v>
      </c>
      <c r="C38" s="6">
        <f t="shared" si="5"/>
        <v>0.11600350540475785</v>
      </c>
      <c r="D38" s="6">
        <f t="shared" si="12"/>
        <v>5.445454141432593E-2</v>
      </c>
      <c r="E38" s="9">
        <f t="shared" si="6"/>
        <v>25.194425019587609</v>
      </c>
      <c r="F38" s="7">
        <f t="shared" si="0"/>
        <v>26.99176736639091</v>
      </c>
      <c r="G38" s="7">
        <f t="shared" si="7"/>
        <v>28.178942318390909</v>
      </c>
      <c r="H38" s="7">
        <f t="shared" si="8"/>
        <v>0.44780892818326951</v>
      </c>
      <c r="I38" s="7">
        <f t="shared" si="9"/>
        <v>0.28569475266574273</v>
      </c>
      <c r="J38" t="b">
        <f t="shared" si="1"/>
        <v>1</v>
      </c>
      <c r="K38" s="7">
        <f t="shared" si="2"/>
        <v>26.99176736639091</v>
      </c>
      <c r="L38" s="7">
        <f t="shared" si="10"/>
        <v>-8.2326336090901009E-3</v>
      </c>
      <c r="M38">
        <f t="shared" si="3"/>
        <v>0</v>
      </c>
      <c r="N38">
        <f t="shared" si="4"/>
        <v>0</v>
      </c>
      <c r="O38" s="3">
        <f t="shared" si="11"/>
        <v>157116.80685572865</v>
      </c>
    </row>
    <row r="39" spans="1:15" x14ac:dyDescent="0.25">
      <c r="A39">
        <f>'hours (1)'!A39</f>
        <v>28</v>
      </c>
      <c r="B39">
        <f>'hours (1)'!B39</f>
        <v>448118</v>
      </c>
      <c r="C39" s="6">
        <f t="shared" si="5"/>
        <v>0.11929343573792461</v>
      </c>
      <c r="D39" s="6">
        <f t="shared" si="12"/>
        <v>5.5237712638284003E-2</v>
      </c>
      <c r="E39" s="9">
        <f t="shared" si="6"/>
        <v>26.194425019587609</v>
      </c>
      <c r="F39" s="7">
        <f t="shared" si="0"/>
        <v>27.99176736639091</v>
      </c>
      <c r="G39" s="7">
        <f t="shared" si="7"/>
        <v>29.178942318390909</v>
      </c>
      <c r="H39" s="7">
        <f t="shared" si="8"/>
        <v>0.43160277210056297</v>
      </c>
      <c r="I39" s="7">
        <f t="shared" si="9"/>
        <v>0.26793033934060284</v>
      </c>
      <c r="J39" t="b">
        <f t="shared" si="1"/>
        <v>1</v>
      </c>
      <c r="K39" s="7">
        <f t="shared" si="2"/>
        <v>27.99176736639091</v>
      </c>
      <c r="L39" s="7">
        <f t="shared" si="10"/>
        <v>-8.2326336090901009E-3</v>
      </c>
      <c r="M39">
        <f t="shared" si="3"/>
        <v>0</v>
      </c>
      <c r="N39">
        <f t="shared" si="4"/>
        <v>0</v>
      </c>
      <c r="O39" s="3">
        <f t="shared" si="11"/>
        <v>448249.79558329954</v>
      </c>
    </row>
    <row r="40" spans="1:15" x14ac:dyDescent="0.25">
      <c r="A40">
        <f>'hours (1)'!A40</f>
        <v>29</v>
      </c>
      <c r="B40">
        <f>'hours (1)'!B40</f>
        <v>69923.070000000007</v>
      </c>
      <c r="C40" s="6">
        <f t="shared" si="5"/>
        <v>0.1198067871966501</v>
      </c>
      <c r="D40" s="6">
        <f t="shared" si="12"/>
        <v>5.7554857447570475E-2</v>
      </c>
      <c r="E40" s="9">
        <f t="shared" si="6"/>
        <v>27.194425019587609</v>
      </c>
      <c r="F40" s="7">
        <f t="shared" si="0"/>
        <v>28.99176736639091</v>
      </c>
      <c r="G40" s="7">
        <f t="shared" si="7"/>
        <v>30.178942318390909</v>
      </c>
      <c r="H40" s="7">
        <f t="shared" si="8"/>
        <v>0.41652966867007707</v>
      </c>
      <c r="I40" s="7">
        <f t="shared" si="9"/>
        <v>0.25599982515926312</v>
      </c>
      <c r="J40" t="b">
        <f t="shared" si="1"/>
        <v>1</v>
      </c>
      <c r="K40" s="7">
        <f t="shared" si="2"/>
        <v>28.99176736639091</v>
      </c>
      <c r="L40" s="7">
        <f t="shared" si="10"/>
        <v>-8.2326336090901009E-3</v>
      </c>
      <c r="M40">
        <f t="shared" si="3"/>
        <v>0</v>
      </c>
      <c r="N40">
        <f t="shared" si="4"/>
        <v>0</v>
      </c>
      <c r="O40" s="3">
        <f t="shared" si="11"/>
        <v>69942.925671744946</v>
      </c>
    </row>
    <row r="41" spans="1:15" x14ac:dyDescent="0.25">
      <c r="A41">
        <f>'hours (1)'!A41</f>
        <v>30</v>
      </c>
      <c r="B41">
        <f>'hours (1)'!B41</f>
        <v>4735767</v>
      </c>
      <c r="C41" s="6">
        <f t="shared" si="5"/>
        <v>0.15457518191435884</v>
      </c>
      <c r="D41" s="6">
        <f t="shared" si="12"/>
        <v>5.7929331078104683E-2</v>
      </c>
      <c r="E41" s="9">
        <f t="shared" si="6"/>
        <v>28.194425019587609</v>
      </c>
      <c r="F41" s="7">
        <f t="shared" si="0"/>
        <v>29.99176736639091</v>
      </c>
      <c r="G41" s="7">
        <f t="shared" si="7"/>
        <v>31.178942318390909</v>
      </c>
      <c r="H41" s="7">
        <f t="shared" si="8"/>
        <v>0.4024747087954309</v>
      </c>
      <c r="I41" s="7">
        <f t="shared" si="9"/>
        <v>0.24948176252203186</v>
      </c>
      <c r="J41" t="b">
        <f t="shared" si="1"/>
        <v>0</v>
      </c>
      <c r="K41" s="7">
        <f t="shared" si="2"/>
        <v>29</v>
      </c>
      <c r="L41" s="7">
        <f t="shared" si="10"/>
        <v>-1</v>
      </c>
      <c r="M41">
        <f t="shared" si="3"/>
        <v>0</v>
      </c>
      <c r="N41">
        <f t="shared" si="4"/>
        <v>0</v>
      </c>
      <c r="O41" s="3">
        <f t="shared" si="11"/>
        <v>4899069.3103448274</v>
      </c>
    </row>
    <row r="42" spans="1:15" x14ac:dyDescent="0.25">
      <c r="A42">
        <f>'hours (1)'!A42</f>
        <v>31</v>
      </c>
      <c r="B42">
        <f>'hours (1)'!B42</f>
        <v>44161.75</v>
      </c>
      <c r="C42" s="6">
        <f t="shared" si="5"/>
        <v>0.15489940250110323</v>
      </c>
      <c r="D42" s="6">
        <f t="shared" si="12"/>
        <v>8.4166340850180404E-2</v>
      </c>
      <c r="E42" s="9">
        <f t="shared" si="6"/>
        <v>29.194425019587609</v>
      </c>
      <c r="F42" s="7">
        <f t="shared" si="0"/>
        <v>30.99176736639091</v>
      </c>
      <c r="G42" s="7">
        <f t="shared" si="7"/>
        <v>32.178942318390909</v>
      </c>
      <c r="H42" s="7">
        <f t="shared" si="8"/>
        <v>0.38933802518094057</v>
      </c>
      <c r="I42" s="7">
        <f t="shared" si="9"/>
        <v>0.24799878500437103</v>
      </c>
      <c r="J42" t="b">
        <f t="shared" si="1"/>
        <v>0</v>
      </c>
      <c r="K42" s="7">
        <f t="shared" si="2"/>
        <v>29</v>
      </c>
      <c r="L42" s="7">
        <f t="shared" si="10"/>
        <v>-2</v>
      </c>
      <c r="M42">
        <f t="shared" si="3"/>
        <v>0</v>
      </c>
      <c r="N42">
        <f t="shared" si="4"/>
        <v>0</v>
      </c>
      <c r="O42" s="3">
        <f t="shared" si="11"/>
        <v>47207.387931034486</v>
      </c>
    </row>
    <row r="43" spans="1:15" x14ac:dyDescent="0.25">
      <c r="A43">
        <f>'hours (1)'!A43</f>
        <v>32</v>
      </c>
      <c r="B43">
        <f>'hours (1)'!B43</f>
        <v>1921819</v>
      </c>
      <c r="C43" s="6">
        <f t="shared" si="5"/>
        <v>0.16900874562714646</v>
      </c>
      <c r="D43" s="6">
        <f t="shared" si="12"/>
        <v>8.4419160441004587E-2</v>
      </c>
      <c r="E43" s="9">
        <f t="shared" si="6"/>
        <v>30.194425019587609</v>
      </c>
      <c r="F43" s="7">
        <f t="shared" si="0"/>
        <v>31.99176736639091</v>
      </c>
      <c r="G43" s="7">
        <f t="shared" si="7"/>
        <v>33.178942318390909</v>
      </c>
      <c r="H43" s="7">
        <f t="shared" si="8"/>
        <v>0.37703240732796967</v>
      </c>
      <c r="I43" s="7">
        <f t="shared" si="9"/>
        <v>0.25121166636648351</v>
      </c>
      <c r="J43" t="b">
        <f t="shared" si="1"/>
        <v>0</v>
      </c>
      <c r="K43" s="7">
        <f t="shared" si="2"/>
        <v>29</v>
      </c>
      <c r="L43" s="7">
        <f t="shared" si="10"/>
        <v>-3</v>
      </c>
      <c r="M43">
        <f t="shared" si="3"/>
        <v>0</v>
      </c>
      <c r="N43">
        <f t="shared" si="4"/>
        <v>0</v>
      </c>
      <c r="O43" s="3">
        <f t="shared" si="11"/>
        <v>2120627.8620689656</v>
      </c>
    </row>
    <row r="44" spans="1:15" x14ac:dyDescent="0.25">
      <c r="A44">
        <f>'hours (1)'!A44</f>
        <v>33</v>
      </c>
      <c r="B44">
        <f>'hours (1)'!B44</f>
        <v>149202.29999999999</v>
      </c>
      <c r="C44" s="6">
        <f t="shared" si="5"/>
        <v>0.17010413829726515</v>
      </c>
      <c r="D44" s="6">
        <f t="shared" si="12"/>
        <v>9.5776202037161001E-2</v>
      </c>
      <c r="E44" s="9">
        <f t="shared" si="6"/>
        <v>31.194425019587609</v>
      </c>
      <c r="F44" s="7">
        <f t="shared" si="0"/>
        <v>32.99176736639091</v>
      </c>
      <c r="G44" s="7">
        <f t="shared" si="7"/>
        <v>34.178942318390909</v>
      </c>
      <c r="H44" s="7">
        <f t="shared" si="8"/>
        <v>0.36548135667978965</v>
      </c>
      <c r="I44" s="7">
        <f t="shared" si="9"/>
        <v>0.25881434788793523</v>
      </c>
      <c r="J44" t="b">
        <f t="shared" si="1"/>
        <v>0</v>
      </c>
      <c r="K44" s="7">
        <f t="shared" si="2"/>
        <v>29</v>
      </c>
      <c r="L44" s="7">
        <f t="shared" si="10"/>
        <v>-4</v>
      </c>
      <c r="M44">
        <f t="shared" si="3"/>
        <v>0</v>
      </c>
      <c r="N44">
        <f t="shared" si="4"/>
        <v>0</v>
      </c>
      <c r="O44" s="3">
        <f t="shared" si="11"/>
        <v>169781.92758620688</v>
      </c>
    </row>
    <row r="45" spans="1:15" x14ac:dyDescent="0.25">
      <c r="A45">
        <f>'hours (1)'!A45</f>
        <v>34</v>
      </c>
      <c r="B45">
        <f>'hours (1)'!B45</f>
        <v>198350.5</v>
      </c>
      <c r="C45" s="6">
        <f t="shared" si="5"/>
        <v>0.1715603603783884</v>
      </c>
      <c r="D45" s="6">
        <f t="shared" si="12"/>
        <v>9.6685470678001609E-2</v>
      </c>
      <c r="E45" s="9">
        <f t="shared" si="6"/>
        <v>32.194425019587612</v>
      </c>
      <c r="F45" s="7">
        <f t="shared" si="0"/>
        <v>33.99176736639091</v>
      </c>
      <c r="G45" s="7">
        <f t="shared" si="7"/>
        <v>35.178942318390909</v>
      </c>
      <c r="H45" s="7">
        <f t="shared" si="8"/>
        <v>0.35461748991691494</v>
      </c>
      <c r="I45" s="7">
        <f t="shared" si="9"/>
        <v>0.27052975059772266</v>
      </c>
      <c r="J45" t="b">
        <f t="shared" si="1"/>
        <v>0</v>
      </c>
      <c r="K45" s="7">
        <f t="shared" si="2"/>
        <v>29</v>
      </c>
      <c r="L45" s="7">
        <f t="shared" si="10"/>
        <v>-5</v>
      </c>
      <c r="M45">
        <f t="shared" si="3"/>
        <v>0</v>
      </c>
      <c r="N45">
        <f t="shared" si="4"/>
        <v>0</v>
      </c>
      <c r="O45" s="3">
        <f t="shared" si="11"/>
        <v>232548.86206896551</v>
      </c>
    </row>
    <row r="46" spans="1:15" x14ac:dyDescent="0.25">
      <c r="A46">
        <f>'hours (1)'!A46</f>
        <v>35</v>
      </c>
      <c r="B46">
        <f>'hours (1)'!B46</f>
        <v>5915070</v>
      </c>
      <c r="C46" s="6">
        <f t="shared" si="5"/>
        <v>0.21498679764670786</v>
      </c>
      <c r="D46" s="6">
        <f t="shared" si="12"/>
        <v>9.7930888201224822E-2</v>
      </c>
      <c r="E46" s="9">
        <f t="shared" si="6"/>
        <v>33.194425019587612</v>
      </c>
      <c r="F46" s="7">
        <f t="shared" si="0"/>
        <v>34.99176736639091</v>
      </c>
      <c r="G46" s="7">
        <f t="shared" si="7"/>
        <v>36.178942318390909</v>
      </c>
      <c r="H46" s="7">
        <f t="shared" si="8"/>
        <v>0.34438121975660985</v>
      </c>
      <c r="I46" s="7">
        <f t="shared" si="9"/>
        <v>0.28610622827079579</v>
      </c>
      <c r="J46" t="b">
        <f t="shared" si="1"/>
        <v>0</v>
      </c>
      <c r="K46" s="7">
        <f t="shared" si="2"/>
        <v>29</v>
      </c>
      <c r="L46" s="7">
        <f t="shared" si="10"/>
        <v>-6</v>
      </c>
      <c r="M46">
        <f t="shared" si="3"/>
        <v>1</v>
      </c>
      <c r="N46">
        <f t="shared" si="4"/>
        <v>0</v>
      </c>
      <c r="O46" s="3">
        <f t="shared" si="11"/>
        <v>7138877.5862068962</v>
      </c>
    </row>
    <row r="47" spans="1:15" x14ac:dyDescent="0.25">
      <c r="A47">
        <f>'hours (1)'!A47</f>
        <v>36</v>
      </c>
      <c r="B47">
        <f>'hours (1)'!B47</f>
        <v>1647393</v>
      </c>
      <c r="C47" s="6">
        <f t="shared" si="5"/>
        <v>0.22708139817903777</v>
      </c>
      <c r="D47" s="6">
        <f t="shared" si="12"/>
        <v>0.13616321134787962</v>
      </c>
      <c r="E47" s="9">
        <f t="shared" si="6"/>
        <v>34.194425019587612</v>
      </c>
      <c r="F47" s="7">
        <f t="shared" si="0"/>
        <v>35.99176736639091</v>
      </c>
      <c r="G47" s="7">
        <f t="shared" si="7"/>
        <v>37.178942318390909</v>
      </c>
      <c r="H47" s="7">
        <f t="shared" si="8"/>
        <v>0.33471965854119345</v>
      </c>
      <c r="I47" s="7">
        <f t="shared" si="9"/>
        <v>0.30531454702445548</v>
      </c>
      <c r="J47" t="b">
        <f t="shared" si="1"/>
        <v>0</v>
      </c>
      <c r="K47" s="7">
        <f t="shared" si="2"/>
        <v>29</v>
      </c>
      <c r="L47" s="7">
        <f t="shared" si="10"/>
        <v>-7</v>
      </c>
      <c r="M47">
        <f t="shared" si="3"/>
        <v>1</v>
      </c>
      <c r="N47">
        <f t="shared" si="4"/>
        <v>0</v>
      </c>
      <c r="O47" s="3">
        <f t="shared" si="11"/>
        <v>2045039.5862068965</v>
      </c>
    </row>
    <row r="48" spans="1:15" x14ac:dyDescent="0.25">
      <c r="A48">
        <f>'hours (1)'!A48</f>
        <v>37</v>
      </c>
      <c r="B48">
        <f>'hours (1)'!B48</f>
        <v>822001.4</v>
      </c>
      <c r="C48" s="6">
        <f t="shared" si="5"/>
        <v>0.23311625359606086</v>
      </c>
      <c r="D48" s="6">
        <f t="shared" si="12"/>
        <v>0.14711543925253351</v>
      </c>
      <c r="E48" s="9">
        <f t="shared" si="6"/>
        <v>35.194425019587612</v>
      </c>
      <c r="F48" s="7">
        <f t="shared" si="0"/>
        <v>36.99176736639091</v>
      </c>
      <c r="G48" s="7">
        <f t="shared" si="7"/>
        <v>38.178942318390909</v>
      </c>
      <c r="H48" s="7">
        <f t="shared" si="8"/>
        <v>0.32558570189788139</v>
      </c>
      <c r="I48" s="7">
        <f t="shared" si="9"/>
        <v>0.32794530039677383</v>
      </c>
      <c r="J48" t="b">
        <f t="shared" si="1"/>
        <v>0</v>
      </c>
      <c r="K48" s="7">
        <f t="shared" si="2"/>
        <v>38.178942318390909</v>
      </c>
      <c r="L48" s="7">
        <f t="shared" si="10"/>
        <v>1.1789423183909093</v>
      </c>
      <c r="M48">
        <f t="shared" si="3"/>
        <v>1</v>
      </c>
      <c r="N48">
        <f t="shared" si="4"/>
        <v>1</v>
      </c>
      <c r="O48" s="3">
        <f t="shared" si="11"/>
        <v>796618.50101461459</v>
      </c>
    </row>
    <row r="49" spans="1:15" x14ac:dyDescent="0.25">
      <c r="A49">
        <f>'hours (1)'!A49</f>
        <v>38</v>
      </c>
      <c r="B49">
        <f>'hours (1)'!B49</f>
        <v>1667259</v>
      </c>
      <c r="C49" s="6">
        <f t="shared" si="5"/>
        <v>0.24535670356090339</v>
      </c>
      <c r="D49" s="6">
        <f t="shared" si="12"/>
        <v>0.15273208504813549</v>
      </c>
      <c r="E49" s="9">
        <f t="shared" si="6"/>
        <v>36.194425019587612</v>
      </c>
      <c r="F49" s="7">
        <f t="shared" si="0"/>
        <v>37.99176736639091</v>
      </c>
      <c r="G49" s="7">
        <f t="shared" si="7"/>
        <v>39.178942318390909</v>
      </c>
      <c r="H49" s="7">
        <f t="shared" si="8"/>
        <v>0.31693725886860014</v>
      </c>
      <c r="I49" s="7">
        <f t="shared" si="9"/>
        <v>0.35380668666861437</v>
      </c>
      <c r="J49" t="b">
        <f t="shared" si="1"/>
        <v>0</v>
      </c>
      <c r="K49" s="7">
        <f t="shared" si="2"/>
        <v>39.178942318390909</v>
      </c>
      <c r="L49" s="7">
        <f t="shared" si="10"/>
        <v>1.1789423183909093</v>
      </c>
      <c r="M49">
        <f t="shared" si="3"/>
        <v>1</v>
      </c>
      <c r="N49">
        <f t="shared" si="4"/>
        <v>1</v>
      </c>
      <c r="O49" s="3">
        <f t="shared" si="11"/>
        <v>1617089.1364328705</v>
      </c>
    </row>
    <row r="50" spans="1:15" x14ac:dyDescent="0.25">
      <c r="A50">
        <f>'hours (1)'!A50</f>
        <v>39</v>
      </c>
      <c r="B50">
        <f>'hours (1)'!B50</f>
        <v>213584</v>
      </c>
      <c r="C50" s="6">
        <f t="shared" si="5"/>
        <v>0.24692476483110251</v>
      </c>
      <c r="D50" s="6">
        <f t="shared" si="12"/>
        <v>0.16443218097537801</v>
      </c>
      <c r="E50" s="9">
        <f t="shared" si="6"/>
        <v>37.194425019587612</v>
      </c>
      <c r="F50" s="7">
        <f t="shared" si="0"/>
        <v>38.99176736639091</v>
      </c>
      <c r="G50" s="7">
        <f t="shared" si="7"/>
        <v>40.178942318390909</v>
      </c>
      <c r="H50" s="7">
        <f t="shared" si="8"/>
        <v>0.30873660189142871</v>
      </c>
      <c r="I50" s="7">
        <f t="shared" si="9"/>
        <v>0.38272258916982027</v>
      </c>
      <c r="J50" t="b">
        <f t="shared" si="1"/>
        <v>0</v>
      </c>
      <c r="K50" s="7">
        <f t="shared" si="2"/>
        <v>40.178942318390909</v>
      </c>
      <c r="L50" s="7">
        <f t="shared" si="10"/>
        <v>1.1789423183909093</v>
      </c>
      <c r="M50">
        <f t="shared" si="3"/>
        <v>1</v>
      </c>
      <c r="N50">
        <f t="shared" si="4"/>
        <v>1</v>
      </c>
      <c r="O50" s="3">
        <f t="shared" si="11"/>
        <v>207316.95558315513</v>
      </c>
    </row>
    <row r="51" spans="1:15" x14ac:dyDescent="0.25">
      <c r="A51">
        <f>'hours (1)'!A51</f>
        <v>40</v>
      </c>
      <c r="B51">
        <f>'hours (1)'!B51</f>
        <v>70800000</v>
      </c>
      <c r="C51" s="6">
        <f t="shared" si="5"/>
        <v>0.76671434612042266</v>
      </c>
      <c r="D51" s="6">
        <f t="shared" si="12"/>
        <v>0.16597046340010599</v>
      </c>
      <c r="E51" s="9">
        <f t="shared" si="6"/>
        <v>38.194425019587612</v>
      </c>
      <c r="F51" s="7">
        <f t="shared" ref="F51:F82" si="13">$A51-$B$5*$B$12*$B$4*$B$9</f>
        <v>39.99176736639091</v>
      </c>
      <c r="G51" s="7">
        <f t="shared" si="7"/>
        <v>41.178942318390909</v>
      </c>
      <c r="H51" s="7">
        <f t="shared" si="8"/>
        <v>0.30094981540633792</v>
      </c>
      <c r="I51" s="7">
        <f t="shared" si="9"/>
        <v>0.41453091132057118</v>
      </c>
      <c r="J51" t="b">
        <f t="shared" ref="J51:J82" si="14">F51&lt;=$B$14</f>
        <v>0</v>
      </c>
      <c r="K51" s="7">
        <f t="shared" ref="K51:K82" si="15">IF(J51,F51,IF(H51&lt;I51,G51,$B$14))</f>
        <v>41.178942318390909</v>
      </c>
      <c r="L51" s="7">
        <f t="shared" si="10"/>
        <v>1.1789423183909093</v>
      </c>
      <c r="M51">
        <f t="shared" ref="M51:M82" si="16">IF($A51&gt;$B$15,1,0)</f>
        <v>1</v>
      </c>
      <c r="N51">
        <f t="shared" ref="N51:N82" si="17">IF($K51&gt;$B$15,1,0)</f>
        <v>1</v>
      </c>
      <c r="O51" s="3">
        <f t="shared" si="11"/>
        <v>68773014.569031358</v>
      </c>
    </row>
    <row r="52" spans="1:15" x14ac:dyDescent="0.25">
      <c r="A52">
        <f>'hours (1)'!A52</f>
        <v>41</v>
      </c>
      <c r="B52">
        <f>'hours (1)'!B52</f>
        <v>92662.9</v>
      </c>
      <c r="C52" s="6">
        <f t="shared" si="5"/>
        <v>0.76739464569658167</v>
      </c>
      <c r="D52" s="6">
        <f t="shared" si="12"/>
        <v>0.68896361793747007</v>
      </c>
      <c r="E52" s="9">
        <f t="shared" si="6"/>
        <v>39.194425019587612</v>
      </c>
      <c r="F52" s="7">
        <f t="shared" si="13"/>
        <v>40.99176736639091</v>
      </c>
      <c r="G52" s="7">
        <f t="shared" si="7"/>
        <v>42.178942318390909</v>
      </c>
      <c r="H52" s="7">
        <f t="shared" si="8"/>
        <v>0.29354632605050107</v>
      </c>
      <c r="I52" s="7">
        <f t="shared" si="9"/>
        <v>0.44908212689165727</v>
      </c>
      <c r="J52" t="b">
        <f t="shared" si="14"/>
        <v>0</v>
      </c>
      <c r="K52" s="7">
        <f t="shared" si="15"/>
        <v>42.178942318390909</v>
      </c>
      <c r="L52" s="7">
        <f t="shared" si="10"/>
        <v>1.1789423183909093</v>
      </c>
      <c r="M52">
        <f t="shared" si="16"/>
        <v>1</v>
      </c>
      <c r="N52">
        <f t="shared" si="17"/>
        <v>1</v>
      </c>
      <c r="O52" s="3">
        <f t="shared" si="11"/>
        <v>90072.882134445506</v>
      </c>
    </row>
    <row r="53" spans="1:15" x14ac:dyDescent="0.25">
      <c r="A53">
        <f>'hours (1)'!A53</f>
        <v>42</v>
      </c>
      <c r="B53">
        <f>'hours (1)'!B53</f>
        <v>690234</v>
      </c>
      <c r="C53" s="6">
        <f t="shared" si="5"/>
        <v>0.77246210956454286</v>
      </c>
      <c r="D53" s="6">
        <f t="shared" si="12"/>
        <v>0.68966522265412356</v>
      </c>
      <c r="E53" s="9">
        <f t="shared" si="6"/>
        <v>40.194425019587612</v>
      </c>
      <c r="F53" s="7">
        <f t="shared" si="13"/>
        <v>41.99176736639091</v>
      </c>
      <c r="G53" s="7">
        <f t="shared" si="7"/>
        <v>43.178942318390909</v>
      </c>
      <c r="H53" s="7">
        <f t="shared" si="8"/>
        <v>0.28649850069144073</v>
      </c>
      <c r="I53" s="7">
        <f t="shared" si="9"/>
        <v>0.48623801293923508</v>
      </c>
      <c r="J53" t="b">
        <f t="shared" si="14"/>
        <v>0</v>
      </c>
      <c r="K53" s="7">
        <f t="shared" si="15"/>
        <v>43.178942318390909</v>
      </c>
      <c r="L53" s="7">
        <f t="shared" si="10"/>
        <v>1.1789423183909093</v>
      </c>
      <c r="M53">
        <f t="shared" si="16"/>
        <v>1</v>
      </c>
      <c r="N53">
        <f t="shared" si="17"/>
        <v>1</v>
      </c>
      <c r="O53" s="3">
        <f t="shared" si="11"/>
        <v>671388.09900057607</v>
      </c>
    </row>
    <row r="54" spans="1:15" x14ac:dyDescent="0.25">
      <c r="A54">
        <f>'hours (1)'!A54</f>
        <v>43</v>
      </c>
      <c r="B54">
        <f>'hours (1)'!B54</f>
        <v>396101.2</v>
      </c>
      <c r="C54" s="6">
        <f t="shared" si="5"/>
        <v>0.77537015019866995</v>
      </c>
      <c r="D54" s="6">
        <f t="shared" si="12"/>
        <v>0.69501885316090872</v>
      </c>
      <c r="E54" s="9">
        <f t="shared" si="6"/>
        <v>41.194425019587612</v>
      </c>
      <c r="F54" s="7">
        <f t="shared" si="13"/>
        <v>42.99176736639091</v>
      </c>
      <c r="G54" s="7">
        <f t="shared" si="7"/>
        <v>44.178942318390909</v>
      </c>
      <c r="H54" s="7">
        <f t="shared" si="8"/>
        <v>0.27978130113401306</v>
      </c>
      <c r="I54" s="7">
        <f t="shared" si="9"/>
        <v>0.52587053847022081</v>
      </c>
      <c r="J54" t="b">
        <f t="shared" si="14"/>
        <v>0</v>
      </c>
      <c r="K54" s="7">
        <f t="shared" si="15"/>
        <v>44.178942318390909</v>
      </c>
      <c r="L54" s="7">
        <f t="shared" si="10"/>
        <v>1.1789423183909093</v>
      </c>
      <c r="M54">
        <f t="shared" si="16"/>
        <v>1</v>
      </c>
      <c r="N54">
        <f t="shared" si="17"/>
        <v>1</v>
      </c>
      <c r="O54" s="3">
        <f t="shared" si="11"/>
        <v>385530.99522506533</v>
      </c>
    </row>
    <row r="55" spans="1:15" x14ac:dyDescent="0.25">
      <c r="A55">
        <f>'hours (1)'!A55</f>
        <v>44</v>
      </c>
      <c r="B55">
        <f>'hours (1)'!B55</f>
        <v>421844.8</v>
      </c>
      <c r="C55" s="6">
        <f t="shared" si="5"/>
        <v>0.77846719161054956</v>
      </c>
      <c r="D55" s="6">
        <f t="shared" si="12"/>
        <v>0.69816426392802511</v>
      </c>
      <c r="E55" s="9">
        <f t="shared" si="6"/>
        <v>42.194425019587612</v>
      </c>
      <c r="F55" s="7">
        <f t="shared" si="13"/>
        <v>43.99176736639091</v>
      </c>
      <c r="G55" s="7">
        <f t="shared" si="7"/>
        <v>45.178942318390909</v>
      </c>
      <c r="H55" s="7">
        <f t="shared" si="8"/>
        <v>0.27337198638944993</v>
      </c>
      <c r="I55" s="7">
        <f t="shared" si="9"/>
        <v>0.56786088641991117</v>
      </c>
      <c r="J55" t="b">
        <f t="shared" si="14"/>
        <v>0</v>
      </c>
      <c r="K55" s="7">
        <f t="shared" si="15"/>
        <v>45.178942318390909</v>
      </c>
      <c r="L55" s="7">
        <f t="shared" si="10"/>
        <v>1.1789423183909093</v>
      </c>
      <c r="M55">
        <f t="shared" si="16"/>
        <v>1</v>
      </c>
      <c r="N55">
        <f t="shared" si="17"/>
        <v>1</v>
      </c>
      <c r="O55" s="3">
        <f t="shared" si="11"/>
        <v>410836.78031223716</v>
      </c>
    </row>
    <row r="56" spans="1:15" x14ac:dyDescent="0.25">
      <c r="A56">
        <f>'hours (1)'!A56</f>
        <v>45</v>
      </c>
      <c r="B56">
        <f>'hours (1)'!B56</f>
        <v>6143031</v>
      </c>
      <c r="C56" s="6">
        <f t="shared" si="5"/>
        <v>0.82356724120570934</v>
      </c>
      <c r="D56" s="6">
        <f t="shared" si="12"/>
        <v>0.70159200597526949</v>
      </c>
      <c r="E56" s="9">
        <f t="shared" si="6"/>
        <v>43.194425019587612</v>
      </c>
      <c r="F56" s="7">
        <f t="shared" si="13"/>
        <v>44.99176736639091</v>
      </c>
      <c r="G56" s="7">
        <f t="shared" si="7"/>
        <v>46.178942318390909</v>
      </c>
      <c r="H56" s="7">
        <f t="shared" si="8"/>
        <v>0.26724985503198345</v>
      </c>
      <c r="I56" s="7">
        <f t="shared" si="9"/>
        <v>0.61209859020050705</v>
      </c>
      <c r="J56" t="b">
        <f t="shared" si="14"/>
        <v>0</v>
      </c>
      <c r="K56" s="7">
        <f t="shared" si="15"/>
        <v>46.178942318390909</v>
      </c>
      <c r="L56" s="7">
        <f t="shared" si="10"/>
        <v>1.1789423183909093</v>
      </c>
      <c r="M56">
        <f t="shared" si="16"/>
        <v>1</v>
      </c>
      <c r="N56">
        <f t="shared" si="17"/>
        <v>1</v>
      </c>
      <c r="O56" s="3">
        <f t="shared" si="11"/>
        <v>5986200.2272388199</v>
      </c>
    </row>
    <row r="57" spans="1:15" x14ac:dyDescent="0.25">
      <c r="A57">
        <f>'hours (1)'!A57</f>
        <v>46</v>
      </c>
      <c r="B57">
        <f>'hours (1)'!B57</f>
        <v>205670.1</v>
      </c>
      <c r="C57" s="6">
        <f t="shared" si="5"/>
        <v>0.82507720130687789</v>
      </c>
      <c r="D57" s="6">
        <f t="shared" si="12"/>
        <v>0.75264226806919143</v>
      </c>
      <c r="E57" s="9">
        <f t="shared" si="6"/>
        <v>44.194425019587612</v>
      </c>
      <c r="F57" s="7">
        <f t="shared" si="13"/>
        <v>45.99176736639091</v>
      </c>
      <c r="G57" s="7">
        <f t="shared" si="7"/>
        <v>47.178942318390909</v>
      </c>
      <c r="H57" s="7">
        <f t="shared" si="8"/>
        <v>0.26139602148193053</v>
      </c>
      <c r="I57" s="7">
        <f t="shared" si="9"/>
        <v>0.65848076908282882</v>
      </c>
      <c r="J57" t="b">
        <f t="shared" si="14"/>
        <v>0</v>
      </c>
      <c r="K57" s="7">
        <f t="shared" si="15"/>
        <v>47.178942318390909</v>
      </c>
      <c r="L57" s="7">
        <f t="shared" si="10"/>
        <v>1.1789423183909093</v>
      </c>
      <c r="M57">
        <f t="shared" si="16"/>
        <v>1</v>
      </c>
      <c r="N57">
        <f t="shared" si="17"/>
        <v>1</v>
      </c>
      <c r="O57" s="3">
        <f t="shared" si="11"/>
        <v>200530.66336572065</v>
      </c>
    </row>
    <row r="58" spans="1:15" x14ac:dyDescent="0.25">
      <c r="A58">
        <f>'hours (1)'!A58</f>
        <v>47</v>
      </c>
      <c r="B58">
        <f>'hours (1)'!B58</f>
        <v>153490.29999999999</v>
      </c>
      <c r="C58" s="6">
        <f t="shared" si="5"/>
        <v>0.82620407501830406</v>
      </c>
      <c r="D58" s="6">
        <f t="shared" si="12"/>
        <v>0.75438942431992539</v>
      </c>
      <c r="E58" s="9">
        <f t="shared" si="6"/>
        <v>45.194425019587612</v>
      </c>
      <c r="F58" s="7">
        <f t="shared" si="13"/>
        <v>46.99176736639091</v>
      </c>
      <c r="G58" s="7">
        <f t="shared" si="7"/>
        <v>48.178942318390909</v>
      </c>
      <c r="H58" s="7">
        <f t="shared" si="8"/>
        <v>0.25579322111346409</v>
      </c>
      <c r="I58" s="7">
        <f t="shared" si="9"/>
        <v>0.70691144913918025</v>
      </c>
      <c r="J58" t="b">
        <f t="shared" si="14"/>
        <v>0</v>
      </c>
      <c r="K58" s="7">
        <f t="shared" si="15"/>
        <v>48.178942318390909</v>
      </c>
      <c r="L58" s="7">
        <f t="shared" si="10"/>
        <v>1.1789423183909093</v>
      </c>
      <c r="M58">
        <f t="shared" si="16"/>
        <v>1</v>
      </c>
      <c r="N58">
        <f t="shared" si="17"/>
        <v>1</v>
      </c>
      <c r="O58" s="3">
        <f t="shared" si="11"/>
        <v>149734.38089042998</v>
      </c>
    </row>
    <row r="59" spans="1:15" x14ac:dyDescent="0.25">
      <c r="A59">
        <f>'hours (1)'!A59</f>
        <v>48</v>
      </c>
      <c r="B59">
        <f>'hours (1)'!B59</f>
        <v>1108012</v>
      </c>
      <c r="C59" s="6">
        <f t="shared" si="5"/>
        <v>0.83433872323219593</v>
      </c>
      <c r="D59" s="6">
        <f t="shared" si="12"/>
        <v>0.75572166149535991</v>
      </c>
      <c r="E59" s="9">
        <f t="shared" si="6"/>
        <v>46.194425019587612</v>
      </c>
      <c r="F59" s="7">
        <f t="shared" si="13"/>
        <v>47.99176736639091</v>
      </c>
      <c r="G59" s="7">
        <f t="shared" si="7"/>
        <v>49.178942318390909</v>
      </c>
      <c r="H59" s="7">
        <f t="shared" si="8"/>
        <v>0.25042563994388412</v>
      </c>
      <c r="I59" s="7">
        <f t="shared" si="9"/>
        <v>0.75730095850922197</v>
      </c>
      <c r="J59" t="b">
        <f t="shared" si="14"/>
        <v>0</v>
      </c>
      <c r="K59" s="7">
        <f t="shared" si="15"/>
        <v>49.178942318390909</v>
      </c>
      <c r="L59" s="7">
        <f t="shared" si="10"/>
        <v>1.1789423183909093</v>
      </c>
      <c r="M59">
        <f t="shared" si="16"/>
        <v>1</v>
      </c>
      <c r="N59">
        <f t="shared" si="17"/>
        <v>1</v>
      </c>
      <c r="O59" s="3">
        <f t="shared" si="11"/>
        <v>1081450.17954384</v>
      </c>
    </row>
    <row r="60" spans="1:15" x14ac:dyDescent="0.25">
      <c r="A60">
        <f>'hours (1)'!A60</f>
        <v>49</v>
      </c>
      <c r="B60">
        <f>'hours (1)'!B60</f>
        <v>77834.45</v>
      </c>
      <c r="C60" s="6">
        <f t="shared" si="5"/>
        <v>0.8349101573589669</v>
      </c>
      <c r="D60" s="6">
        <f t="shared" si="12"/>
        <v>0.76554340202324556</v>
      </c>
      <c r="E60" s="9">
        <f t="shared" si="6"/>
        <v>47.194425019587612</v>
      </c>
      <c r="F60" s="7">
        <f t="shared" si="13"/>
        <v>48.99176736639091</v>
      </c>
      <c r="G60" s="7">
        <f t="shared" si="7"/>
        <v>50.178942318390909</v>
      </c>
      <c r="H60" s="7">
        <f t="shared" si="8"/>
        <v>0.24527876536059451</v>
      </c>
      <c r="I60" s="7">
        <f t="shared" si="9"/>
        <v>0.80956538743598927</v>
      </c>
      <c r="J60" t="b">
        <f t="shared" si="14"/>
        <v>0</v>
      </c>
      <c r="K60" s="7">
        <f t="shared" si="15"/>
        <v>50.178942318390909</v>
      </c>
      <c r="L60" s="7">
        <f t="shared" si="10"/>
        <v>1.1789423183909093</v>
      </c>
      <c r="M60">
        <f t="shared" si="16"/>
        <v>1</v>
      </c>
      <c r="N60">
        <f t="shared" si="17"/>
        <v>1</v>
      </c>
      <c r="O60" s="3">
        <f t="shared" si="11"/>
        <v>76005.74810446304</v>
      </c>
    </row>
    <row r="61" spans="1:15" x14ac:dyDescent="0.25">
      <c r="A61">
        <f>'hours (1)'!A61</f>
        <v>50</v>
      </c>
      <c r="B61">
        <f>'hours (1)'!B61</f>
        <v>10100000</v>
      </c>
      <c r="C61" s="6">
        <f t="shared" si="5"/>
        <v>0.9090609309609744</v>
      </c>
      <c r="D61" s="6">
        <f t="shared" si="12"/>
        <v>0.76624772311869815</v>
      </c>
      <c r="E61" s="9">
        <f t="shared" si="6"/>
        <v>48.194425019587612</v>
      </c>
      <c r="F61" s="7">
        <f t="shared" si="13"/>
        <v>49.99176736639091</v>
      </c>
      <c r="G61" s="7">
        <f t="shared" si="7"/>
        <v>51.178942318390909</v>
      </c>
      <c r="H61" s="7">
        <f t="shared" si="8"/>
        <v>0.24033925491425906</v>
      </c>
      <c r="I61" s="7">
        <f t="shared" si="9"/>
        <v>0.86362610492167236</v>
      </c>
      <c r="J61" t="b">
        <f t="shared" si="14"/>
        <v>0</v>
      </c>
      <c r="K61" s="7">
        <f t="shared" si="15"/>
        <v>51.178942318390909</v>
      </c>
      <c r="L61" s="7">
        <f t="shared" si="10"/>
        <v>1.1789423183909093</v>
      </c>
      <c r="M61">
        <f t="shared" si="16"/>
        <v>1</v>
      </c>
      <c r="N61">
        <f t="shared" si="17"/>
        <v>1</v>
      </c>
      <c r="O61" s="3">
        <f t="shared" si="11"/>
        <v>9867339.5174587388</v>
      </c>
    </row>
    <row r="62" spans="1:15" x14ac:dyDescent="0.25">
      <c r="A62">
        <f>'hours (1)'!A62</f>
        <v>51</v>
      </c>
      <c r="B62">
        <f>'hours (1)'!B62</f>
        <v>19376.21</v>
      </c>
      <c r="C62" s="6">
        <f t="shared" si="5"/>
        <v>0.90920318452146698</v>
      </c>
      <c r="D62" s="6">
        <f t="shared" si="12"/>
        <v>0.85950744876889895</v>
      </c>
      <c r="E62" s="9">
        <f t="shared" si="6"/>
        <v>49.194425019587612</v>
      </c>
      <c r="F62" s="7">
        <f t="shared" si="13"/>
        <v>50.99176736639091</v>
      </c>
      <c r="G62" s="7">
        <f t="shared" si="7"/>
        <v>52.178942318390909</v>
      </c>
      <c r="H62" s="7">
        <f t="shared" si="8"/>
        <v>0.23559482067690801</v>
      </c>
      <c r="I62" s="7">
        <f t="shared" si="9"/>
        <v>0.91940932502478401</v>
      </c>
      <c r="J62" t="b">
        <f t="shared" si="14"/>
        <v>0</v>
      </c>
      <c r="K62" s="7">
        <f t="shared" si="15"/>
        <v>52.178942318390909</v>
      </c>
      <c r="L62" s="7">
        <f t="shared" si="10"/>
        <v>1.1789423183909093</v>
      </c>
      <c r="M62">
        <f t="shared" si="16"/>
        <v>1</v>
      </c>
      <c r="N62">
        <f t="shared" si="17"/>
        <v>1</v>
      </c>
      <c r="O62" s="3">
        <f t="shared" si="11"/>
        <v>18938.419716715976</v>
      </c>
    </row>
    <row r="63" spans="1:15" x14ac:dyDescent="0.25">
      <c r="A63">
        <f>'hours (1)'!A63</f>
        <v>52</v>
      </c>
      <c r="B63">
        <f>'hours (1)'!B63</f>
        <v>1296780</v>
      </c>
      <c r="C63" s="6">
        <f t="shared" si="5"/>
        <v>0.91872370335231957</v>
      </c>
      <c r="D63" s="6">
        <f t="shared" si="12"/>
        <v>0.85968993990051434</v>
      </c>
      <c r="E63" s="9">
        <f t="shared" si="6"/>
        <v>50.194425019587612</v>
      </c>
      <c r="F63" s="7">
        <f t="shared" si="13"/>
        <v>51.99176736639091</v>
      </c>
      <c r="G63" s="7">
        <f t="shared" si="7"/>
        <v>53.178942318390909</v>
      </c>
      <c r="H63" s="7">
        <f t="shared" si="8"/>
        <v>0.23103412705200754</v>
      </c>
      <c r="I63" s="7">
        <f t="shared" si="9"/>
        <v>0.97684571680362009</v>
      </c>
      <c r="J63" t="b">
        <f t="shared" si="14"/>
        <v>0</v>
      </c>
      <c r="K63" s="7">
        <f t="shared" si="15"/>
        <v>53.178942318390909</v>
      </c>
      <c r="L63" s="7">
        <f t="shared" si="10"/>
        <v>1.1789423183909093</v>
      </c>
      <c r="M63">
        <f t="shared" si="16"/>
        <v>1</v>
      </c>
      <c r="N63">
        <f t="shared" si="17"/>
        <v>1</v>
      </c>
      <c r="O63" s="3">
        <f t="shared" si="11"/>
        <v>1268031.2368055456</v>
      </c>
    </row>
    <row r="64" spans="1:15" x14ac:dyDescent="0.25">
      <c r="A64">
        <f>'hours (1)'!A64</f>
        <v>53</v>
      </c>
      <c r="B64">
        <f>'hours (1)'!B64</f>
        <v>75603.33</v>
      </c>
      <c r="C64" s="6">
        <f t="shared" si="5"/>
        <v>0.91927875735295206</v>
      </c>
      <c r="D64" s="6">
        <f t="shared" si="12"/>
        <v>0.87214289444604054</v>
      </c>
      <c r="E64" s="9">
        <f t="shared" si="6"/>
        <v>51.194425019587612</v>
      </c>
      <c r="F64" s="7">
        <f t="shared" si="13"/>
        <v>52.99176736639091</v>
      </c>
      <c r="G64" s="7">
        <f t="shared" si="7"/>
        <v>54.178942318390909</v>
      </c>
      <c r="H64" s="7">
        <f t="shared" si="8"/>
        <v>0.22664670024512454</v>
      </c>
      <c r="I64" s="7">
        <f t="shared" si="9"/>
        <v>1.0358700527389426</v>
      </c>
      <c r="J64" t="b">
        <f t="shared" si="14"/>
        <v>0</v>
      </c>
      <c r="K64" s="7">
        <f t="shared" si="15"/>
        <v>54.178942318390909</v>
      </c>
      <c r="L64" s="7">
        <f t="shared" si="10"/>
        <v>1.1789423183909093</v>
      </c>
      <c r="M64">
        <f t="shared" si="16"/>
        <v>1</v>
      </c>
      <c r="N64">
        <f t="shared" si="17"/>
        <v>1</v>
      </c>
      <c r="O64" s="3">
        <f t="shared" si="11"/>
        <v>73958.189631174144</v>
      </c>
    </row>
    <row r="65" spans="1:15" x14ac:dyDescent="0.25">
      <c r="A65">
        <f>'hours (1)'!A65</f>
        <v>54</v>
      </c>
      <c r="B65">
        <f>'hours (1)'!B65</f>
        <v>93215.23</v>
      </c>
      <c r="C65" s="6">
        <f t="shared" si="5"/>
        <v>0.91996311194859459</v>
      </c>
      <c r="D65" s="6">
        <f t="shared" si="12"/>
        <v>0.87288287370969242</v>
      </c>
      <c r="E65" s="9">
        <f t="shared" si="6"/>
        <v>52.194425019587612</v>
      </c>
      <c r="F65" s="7">
        <f t="shared" si="13"/>
        <v>53.99176736639091</v>
      </c>
      <c r="G65" s="7">
        <f t="shared" si="7"/>
        <v>55.178942318390909</v>
      </c>
      <c r="H65" s="7">
        <f t="shared" si="8"/>
        <v>0.22242284787146027</v>
      </c>
      <c r="I65" s="7">
        <f t="shared" si="9"/>
        <v>1.0964208911687092</v>
      </c>
      <c r="J65" t="b">
        <f t="shared" si="14"/>
        <v>0</v>
      </c>
      <c r="K65" s="7">
        <f t="shared" si="15"/>
        <v>55.178942318390909</v>
      </c>
      <c r="L65" s="7">
        <f t="shared" si="10"/>
        <v>1.1789423183909093</v>
      </c>
      <c r="M65">
        <f t="shared" si="16"/>
        <v>1</v>
      </c>
      <c r="N65">
        <f t="shared" si="17"/>
        <v>1</v>
      </c>
      <c r="O65" s="3">
        <f t="shared" si="11"/>
        <v>91223.611916213093</v>
      </c>
    </row>
    <row r="66" spans="1:15" x14ac:dyDescent="0.25">
      <c r="A66">
        <f>'hours (1)'!A66</f>
        <v>55</v>
      </c>
      <c r="B66">
        <f>'hours (1)'!B66</f>
        <v>2501288</v>
      </c>
      <c r="C66" s="6">
        <f t="shared" si="5"/>
        <v>0.93832671988932903</v>
      </c>
      <c r="D66" s="6">
        <f t="shared" si="12"/>
        <v>0.87381244647388234</v>
      </c>
      <c r="E66" s="9">
        <f t="shared" si="6"/>
        <v>53.194425019587612</v>
      </c>
      <c r="F66" s="7">
        <f t="shared" si="13"/>
        <v>54.99176736639091</v>
      </c>
      <c r="G66" s="7">
        <f t="shared" si="7"/>
        <v>56.178942318390909</v>
      </c>
      <c r="H66" s="7">
        <f t="shared" si="8"/>
        <v>0.21835358739996197</v>
      </c>
      <c r="I66" s="7">
        <f t="shared" si="9"/>
        <v>1.158440288861208</v>
      </c>
      <c r="J66" t="b">
        <f t="shared" si="14"/>
        <v>0</v>
      </c>
      <c r="K66" s="7">
        <f t="shared" si="15"/>
        <v>56.178942318390909</v>
      </c>
      <c r="L66" s="7">
        <f t="shared" si="10"/>
        <v>1.1789423183909093</v>
      </c>
      <c r="M66">
        <f t="shared" si="16"/>
        <v>1</v>
      </c>
      <c r="N66">
        <f t="shared" si="17"/>
        <v>1</v>
      </c>
      <c r="O66" s="3">
        <f t="shared" si="11"/>
        <v>2448797.2596622631</v>
      </c>
    </row>
    <row r="67" spans="1:15" x14ac:dyDescent="0.25">
      <c r="A67">
        <f>'hours (1)'!A67</f>
        <v>56</v>
      </c>
      <c r="B67">
        <f>'hours (1)'!B67</f>
        <v>249015.8</v>
      </c>
      <c r="C67" s="6">
        <f t="shared" si="5"/>
        <v>0.94015490941498481</v>
      </c>
      <c r="D67" s="6">
        <f t="shared" si="12"/>
        <v>0.89921802824787778</v>
      </c>
      <c r="E67" s="9">
        <f t="shared" si="6"/>
        <v>54.194425019587612</v>
      </c>
      <c r="F67" s="7">
        <f t="shared" si="13"/>
        <v>55.99176736639091</v>
      </c>
      <c r="G67" s="7">
        <f t="shared" si="7"/>
        <v>57.178942318390909</v>
      </c>
      <c r="H67" s="7">
        <f t="shared" si="8"/>
        <v>0.21443058232094198</v>
      </c>
      <c r="I67" s="7">
        <f t="shared" si="9"/>
        <v>1.2218735403581382</v>
      </c>
      <c r="J67" t="b">
        <f t="shared" si="14"/>
        <v>0</v>
      </c>
      <c r="K67" s="7">
        <f t="shared" si="15"/>
        <v>57.178942318390909</v>
      </c>
      <c r="L67" s="7">
        <f t="shared" si="10"/>
        <v>1.1789423183909093</v>
      </c>
      <c r="M67">
        <f t="shared" si="16"/>
        <v>1</v>
      </c>
      <c r="N67">
        <f t="shared" si="17"/>
        <v>1</v>
      </c>
      <c r="O67" s="3">
        <f t="shared" si="11"/>
        <v>243881.47514779749</v>
      </c>
    </row>
    <row r="68" spans="1:15" x14ac:dyDescent="0.25">
      <c r="A68">
        <f>'hours (1)'!A68</f>
        <v>57</v>
      </c>
      <c r="B68">
        <f>'hours (1)'!B68</f>
        <v>30187.94</v>
      </c>
      <c r="C68" s="6">
        <f t="shared" si="5"/>
        <v>0.94037653902928686</v>
      </c>
      <c r="D68" s="6">
        <f t="shared" si="12"/>
        <v>0.9017932681105939</v>
      </c>
      <c r="E68" s="9">
        <f t="shared" si="6"/>
        <v>55.194425019587612</v>
      </c>
      <c r="F68" s="7">
        <f t="shared" si="13"/>
        <v>56.99176736639091</v>
      </c>
      <c r="G68" s="7">
        <f t="shared" si="7"/>
        <v>58.178942318390909</v>
      </c>
      <c r="H68" s="7">
        <f t="shared" si="8"/>
        <v>0.21064608508159172</v>
      </c>
      <c r="I68" s="7">
        <f t="shared" si="9"/>
        <v>1.2866689411503405</v>
      </c>
      <c r="J68" t="b">
        <f t="shared" si="14"/>
        <v>0</v>
      </c>
      <c r="K68" s="7">
        <f t="shared" si="15"/>
        <v>58.178942318390909</v>
      </c>
      <c r="L68" s="7">
        <f t="shared" si="10"/>
        <v>1.1789423183909093</v>
      </c>
      <c r="M68">
        <f t="shared" si="16"/>
        <v>1</v>
      </c>
      <c r="N68">
        <f t="shared" si="17"/>
        <v>1</v>
      </c>
      <c r="O68" s="3">
        <f t="shared" si="11"/>
        <v>29576.209388324794</v>
      </c>
    </row>
    <row r="69" spans="1:15" x14ac:dyDescent="0.25">
      <c r="A69">
        <f>'hours (1)'!A69</f>
        <v>58</v>
      </c>
      <c r="B69">
        <f>'hours (1)'!B69</f>
        <v>87955.02</v>
      </c>
      <c r="C69" s="6">
        <f t="shared" si="5"/>
        <v>0.94102227494762147</v>
      </c>
      <c r="D69" s="6">
        <f t="shared" si="12"/>
        <v>0.90211103679006643</v>
      </c>
      <c r="E69" s="9">
        <f t="shared" si="6"/>
        <v>56.194425019587612</v>
      </c>
      <c r="F69" s="7">
        <f t="shared" si="13"/>
        <v>57.99176736639091</v>
      </c>
      <c r="G69" s="7">
        <f t="shared" si="7"/>
        <v>59.178942318390909</v>
      </c>
      <c r="H69" s="7">
        <f t="shared" si="8"/>
        <v>0.20699288596655932</v>
      </c>
      <c r="I69" s="7">
        <f t="shared" si="9"/>
        <v>1.352777572118145</v>
      </c>
      <c r="J69" t="b">
        <f t="shared" si="14"/>
        <v>0</v>
      </c>
      <c r="K69" s="7">
        <f t="shared" si="15"/>
        <v>59.178942318390909</v>
      </c>
      <c r="L69" s="7">
        <f t="shared" si="10"/>
        <v>1.1789423183909093</v>
      </c>
      <c r="M69">
        <f t="shared" si="16"/>
        <v>1</v>
      </c>
      <c r="N69">
        <f t="shared" si="17"/>
        <v>1</v>
      </c>
      <c r="O69" s="3">
        <f t="shared" si="11"/>
        <v>86202.810664540244</v>
      </c>
    </row>
    <row r="70" spans="1:15" x14ac:dyDescent="0.25">
      <c r="A70">
        <f>'hours (1)'!A70</f>
        <v>59</v>
      </c>
      <c r="B70">
        <f>'hours (1)'!B70</f>
        <v>20569.490000000002</v>
      </c>
      <c r="C70" s="6">
        <f t="shared" si="5"/>
        <v>0.94117328916505705</v>
      </c>
      <c r="D70" s="6">
        <f t="shared" si="12"/>
        <v>0.9030531245920782</v>
      </c>
      <c r="E70" s="9">
        <f t="shared" si="6"/>
        <v>57.194425019587612</v>
      </c>
      <c r="F70" s="7">
        <f t="shared" si="13"/>
        <v>58.99176736639091</v>
      </c>
      <c r="G70" s="7">
        <f t="shared" si="7"/>
        <v>60.178942318390909</v>
      </c>
      <c r="H70" s="7">
        <f t="shared" si="8"/>
        <v>0.2034642672132011</v>
      </c>
      <c r="I70" s="7">
        <f t="shared" si="9"/>
        <v>1.4201531029854904</v>
      </c>
      <c r="J70" t="b">
        <f t="shared" si="14"/>
        <v>0</v>
      </c>
      <c r="K70" s="7">
        <f t="shared" si="15"/>
        <v>60.178942318390909</v>
      </c>
      <c r="L70" s="7">
        <f t="shared" si="10"/>
        <v>1.1789423183909093</v>
      </c>
      <c r="M70">
        <f t="shared" si="16"/>
        <v>1</v>
      </c>
      <c r="N70">
        <f t="shared" si="17"/>
        <v>1</v>
      </c>
      <c r="O70" s="3">
        <f t="shared" si="11"/>
        <v>20166.521099343408</v>
      </c>
    </row>
    <row r="71" spans="1:15" x14ac:dyDescent="0.25">
      <c r="A71">
        <f>'hours (1)'!A71</f>
        <v>60</v>
      </c>
      <c r="B71">
        <f>'hours (1)'!B71</f>
        <v>4952193</v>
      </c>
      <c r="C71" s="6">
        <f t="shared" si="5"/>
        <v>0.97753061015282405</v>
      </c>
      <c r="D71" s="6">
        <f t="shared" si="12"/>
        <v>0.90327724339337667</v>
      </c>
      <c r="E71" s="9">
        <f t="shared" si="6"/>
        <v>58.194425019587612</v>
      </c>
      <c r="F71" s="7">
        <f t="shared" si="13"/>
        <v>59.99176736639091</v>
      </c>
      <c r="G71" s="7">
        <f t="shared" si="7"/>
        <v>61.178942318390909</v>
      </c>
      <c r="H71" s="7">
        <f t="shared" si="8"/>
        <v>0.20005396174647327</v>
      </c>
      <c r="I71" s="7">
        <f t="shared" si="9"/>
        <v>1.4887516128100615</v>
      </c>
      <c r="J71" t="b">
        <f t="shared" si="14"/>
        <v>0</v>
      </c>
      <c r="K71" s="7">
        <f t="shared" si="15"/>
        <v>61.178942318390909</v>
      </c>
      <c r="L71" s="7">
        <f t="shared" si="10"/>
        <v>1.1789423183909093</v>
      </c>
      <c r="M71">
        <f t="shared" si="16"/>
        <v>1</v>
      </c>
      <c r="N71">
        <f t="shared" si="17"/>
        <v>1</v>
      </c>
      <c r="O71" s="3">
        <f t="shared" si="11"/>
        <v>4856762.2900973186</v>
      </c>
    </row>
    <row r="72" spans="1:15" x14ac:dyDescent="0.25">
      <c r="A72">
        <f>'hours (1)'!A72</f>
        <v>61</v>
      </c>
      <c r="B72">
        <f>'hours (1)'!B72</f>
        <v>8672.7000000000007</v>
      </c>
      <c r="C72" s="6">
        <f t="shared" si="5"/>
        <v>0.97759428217403377</v>
      </c>
      <c r="D72" s="6">
        <f t="shared" si="12"/>
        <v>0.95814934167617016</v>
      </c>
      <c r="E72" s="9">
        <f t="shared" si="6"/>
        <v>59.194425019587612</v>
      </c>
      <c r="F72" s="7">
        <f t="shared" si="13"/>
        <v>60.99176736639091</v>
      </c>
      <c r="G72" s="7">
        <f t="shared" si="7"/>
        <v>62.178942318390909</v>
      </c>
      <c r="H72" s="7">
        <f t="shared" si="8"/>
        <v>0.19675611599971965</v>
      </c>
      <c r="I72" s="7">
        <f t="shared" si="9"/>
        <v>1.5585314257676459</v>
      </c>
      <c r="J72" t="b">
        <f t="shared" si="14"/>
        <v>0</v>
      </c>
      <c r="K72" s="7">
        <f t="shared" si="15"/>
        <v>62.178942318390909</v>
      </c>
      <c r="L72" s="7">
        <f t="shared" si="10"/>
        <v>1.1789423183909093</v>
      </c>
      <c r="M72">
        <f t="shared" si="16"/>
        <v>1</v>
      </c>
      <c r="N72">
        <f t="shared" si="17"/>
        <v>1</v>
      </c>
      <c r="O72" s="3">
        <f t="shared" si="11"/>
        <v>8508.2614833016451</v>
      </c>
    </row>
    <row r="73" spans="1:15" x14ac:dyDescent="0.25">
      <c r="A73">
        <f>'hours (1)'!A73</f>
        <v>62</v>
      </c>
      <c r="B73">
        <f>'hours (1)'!B73</f>
        <v>19027.900000000001</v>
      </c>
      <c r="C73" s="6">
        <f t="shared" si="5"/>
        <v>0.97773397856066957</v>
      </c>
      <c r="D73" s="6">
        <f t="shared" si="12"/>
        <v>0.95824703995534133</v>
      </c>
      <c r="E73" s="9">
        <f t="shared" si="6"/>
        <v>60.194425019587612</v>
      </c>
      <c r="F73" s="7">
        <f t="shared" si="13"/>
        <v>61.99176736639091</v>
      </c>
      <c r="G73" s="7">
        <f t="shared" si="7"/>
        <v>63.178942318390909</v>
      </c>
      <c r="H73" s="7">
        <f t="shared" si="8"/>
        <v>0.19356525635690297</v>
      </c>
      <c r="I73" s="7">
        <f t="shared" si="9"/>
        <v>1.6294529606932078</v>
      </c>
      <c r="J73" t="b">
        <f t="shared" si="14"/>
        <v>0</v>
      </c>
      <c r="K73" s="7">
        <f t="shared" si="15"/>
        <v>63.178942318390909</v>
      </c>
      <c r="L73" s="7">
        <f t="shared" si="10"/>
        <v>1.1789423183909093</v>
      </c>
      <c r="M73">
        <f t="shared" si="16"/>
        <v>1</v>
      </c>
      <c r="N73">
        <f t="shared" si="17"/>
        <v>1</v>
      </c>
      <c r="O73" s="3">
        <f t="shared" si="11"/>
        <v>18672.832382263379</v>
      </c>
    </row>
    <row r="74" spans="1:15" x14ac:dyDescent="0.25">
      <c r="A74">
        <f>'hours (1)'!A74</f>
        <v>63</v>
      </c>
      <c r="B74">
        <f>'hours (1)'!B74</f>
        <v>18365.64</v>
      </c>
      <c r="C74" s="6">
        <f t="shared" si="5"/>
        <v>0.97786881285905536</v>
      </c>
      <c r="D74" s="6">
        <f t="shared" si="12"/>
        <v>0.9584649038711619</v>
      </c>
      <c r="E74" s="9">
        <f t="shared" si="6"/>
        <v>61.194425019587612</v>
      </c>
      <c r="F74" s="7">
        <f t="shared" si="13"/>
        <v>62.99176736639091</v>
      </c>
      <c r="G74" s="7">
        <f t="shared" si="7"/>
        <v>64.178942318390909</v>
      </c>
      <c r="H74" s="7">
        <f t="shared" si="8"/>
        <v>0.19047625881126934</v>
      </c>
      <c r="I74" s="7">
        <f t="shared" si="9"/>
        <v>1.7014785930184857</v>
      </c>
      <c r="J74" t="b">
        <f t="shared" si="14"/>
        <v>0</v>
      </c>
      <c r="K74" s="7">
        <f t="shared" si="15"/>
        <v>64.178942318390909</v>
      </c>
      <c r="L74" s="7">
        <f t="shared" si="10"/>
        <v>1.1789423183909093</v>
      </c>
      <c r="M74">
        <f t="shared" si="16"/>
        <v>1</v>
      </c>
      <c r="N74">
        <f t="shared" si="17"/>
        <v>1</v>
      </c>
      <c r="O74" s="3">
        <f t="shared" si="11"/>
        <v>18028.2703049228</v>
      </c>
    </row>
    <row r="75" spans="1:15" x14ac:dyDescent="0.25">
      <c r="A75">
        <f>'hours (1)'!A75</f>
        <v>64</v>
      </c>
      <c r="B75">
        <f>'hours (1)'!B75</f>
        <v>40190.81</v>
      </c>
      <c r="C75" s="6">
        <f t="shared" si="5"/>
        <v>0.9781638801514505</v>
      </c>
      <c r="D75" s="6">
        <f t="shared" si="12"/>
        <v>0.95867857673553969</v>
      </c>
      <c r="E75" s="9">
        <f t="shared" si="6"/>
        <v>62.194425019587612</v>
      </c>
      <c r="F75" s="7">
        <f t="shared" si="13"/>
        <v>63.99176736639091</v>
      </c>
      <c r="G75" s="7">
        <f t="shared" si="7"/>
        <v>65.178942318390909</v>
      </c>
      <c r="H75" s="7">
        <f t="shared" si="8"/>
        <v>0.18748432148634064</v>
      </c>
      <c r="I75" s="7">
        <f t="shared" si="9"/>
        <v>1.7745725279003626</v>
      </c>
      <c r="J75" t="b">
        <f t="shared" si="14"/>
        <v>0</v>
      </c>
      <c r="K75" s="7">
        <f t="shared" si="15"/>
        <v>65.178942318390909</v>
      </c>
      <c r="L75" s="7">
        <f t="shared" si="10"/>
        <v>1.1789423183909093</v>
      </c>
      <c r="M75">
        <f t="shared" si="16"/>
        <v>1</v>
      </c>
      <c r="N75">
        <f t="shared" si="17"/>
        <v>1</v>
      </c>
      <c r="O75" s="3">
        <f t="shared" si="11"/>
        <v>39463.847502082339</v>
      </c>
    </row>
    <row r="76" spans="1:15" x14ac:dyDescent="0.25">
      <c r="A76">
        <f>'hours (1)'!A76</f>
        <v>65</v>
      </c>
      <c r="B76">
        <f>'hours (1)'!B76</f>
        <v>624453.69999999995</v>
      </c>
      <c r="C76" s="6">
        <f t="shared" si="5"/>
        <v>0.98274840737260261</v>
      </c>
      <c r="D76" s="6">
        <f t="shared" si="12"/>
        <v>0.95915359410289136</v>
      </c>
      <c r="E76" s="9">
        <f t="shared" si="6"/>
        <v>63.194425019587612</v>
      </c>
      <c r="F76" s="7">
        <f t="shared" si="13"/>
        <v>64.991767366390903</v>
      </c>
      <c r="G76" s="7">
        <f t="shared" si="7"/>
        <v>66.178942318390909</v>
      </c>
      <c r="H76" s="7">
        <f t="shared" si="8"/>
        <v>0.18458493970905207</v>
      </c>
      <c r="I76" s="7">
        <f t="shared" si="9"/>
        <v>1.8487006834688131</v>
      </c>
      <c r="J76" t="b">
        <f t="shared" si="14"/>
        <v>0</v>
      </c>
      <c r="K76" s="7">
        <f t="shared" si="15"/>
        <v>66.178942318390909</v>
      </c>
      <c r="L76" s="7">
        <f t="shared" si="10"/>
        <v>1.1789423183909093</v>
      </c>
      <c r="M76">
        <f t="shared" si="16"/>
        <v>1</v>
      </c>
      <c r="N76">
        <f t="shared" si="17"/>
        <v>1</v>
      </c>
      <c r="O76" s="3">
        <f t="shared" si="11"/>
        <v>613329.39267481037</v>
      </c>
    </row>
    <row r="77" spans="1:15" x14ac:dyDescent="0.25">
      <c r="A77">
        <f>'hours (1)'!A77</f>
        <v>66</v>
      </c>
      <c r="B77">
        <f>'hours (1)'!B77</f>
        <v>29494.29</v>
      </c>
      <c r="C77" s="6">
        <f t="shared" si="5"/>
        <v>0.98296494444392357</v>
      </c>
      <c r="D77" s="6">
        <f t="shared" si="12"/>
        <v>0.9666493658817259</v>
      </c>
      <c r="E77" s="9">
        <f t="shared" si="6"/>
        <v>64.194425019587612</v>
      </c>
      <c r="F77" s="7">
        <f t="shared" si="13"/>
        <v>65.991767366390903</v>
      </c>
      <c r="G77" s="7">
        <f t="shared" si="7"/>
        <v>67.178942318390909</v>
      </c>
      <c r="H77" s="7">
        <f t="shared" si="8"/>
        <v>0.18177388336264105</v>
      </c>
      <c r="I77" s="7">
        <f t="shared" si="9"/>
        <v>1.9238305832410396</v>
      </c>
      <c r="J77" t="b">
        <f t="shared" si="14"/>
        <v>0</v>
      </c>
      <c r="K77" s="7">
        <f t="shared" si="15"/>
        <v>67.178942318390909</v>
      </c>
      <c r="L77" s="7">
        <f t="shared" si="10"/>
        <v>1.1789423183909093</v>
      </c>
      <c r="M77">
        <f t="shared" si="16"/>
        <v>1</v>
      </c>
      <c r="N77">
        <f t="shared" si="17"/>
        <v>1</v>
      </c>
      <c r="O77" s="3">
        <f t="shared" si="11"/>
        <v>28976.686336829876</v>
      </c>
    </row>
    <row r="78" spans="1:15" x14ac:dyDescent="0.25">
      <c r="A78">
        <f>'hours (1)'!A78</f>
        <v>67</v>
      </c>
      <c r="B78">
        <f>'hours (1)'!B78</f>
        <v>7472.09</v>
      </c>
      <c r="C78" s="6">
        <f t="shared" si="5"/>
        <v>0.983019801993817</v>
      </c>
      <c r="D78" s="6">
        <f t="shared" si="12"/>
        <v>0.96700885407970749</v>
      </c>
      <c r="E78" s="9">
        <f t="shared" si="6"/>
        <v>65.194425019587612</v>
      </c>
      <c r="F78" s="7">
        <f t="shared" si="13"/>
        <v>66.991767366390903</v>
      </c>
      <c r="G78" s="7">
        <f t="shared" si="7"/>
        <v>68.178942318390909</v>
      </c>
      <c r="H78" s="7">
        <f t="shared" si="8"/>
        <v>0.17904717627966737</v>
      </c>
      <c r="I78" s="7">
        <f t="shared" si="9"/>
        <v>1.9999312568515868</v>
      </c>
      <c r="J78" t="b">
        <f t="shared" si="14"/>
        <v>0</v>
      </c>
      <c r="K78" s="7">
        <f t="shared" si="15"/>
        <v>68.178942318390909</v>
      </c>
      <c r="L78" s="7">
        <f t="shared" si="10"/>
        <v>1.1789423183909093</v>
      </c>
      <c r="M78">
        <f t="shared" si="16"/>
        <v>1</v>
      </c>
      <c r="N78">
        <f t="shared" si="17"/>
        <v>1</v>
      </c>
      <c r="O78" s="3">
        <f t="shared" si="11"/>
        <v>7342.8834912412203</v>
      </c>
    </row>
    <row r="79" spans="1:15" x14ac:dyDescent="0.25">
      <c r="A79">
        <f>'hours (1)'!A79</f>
        <v>68</v>
      </c>
      <c r="B79">
        <f>'hours (1)'!B79</f>
        <v>38388.75</v>
      </c>
      <c r="C79" s="6">
        <f t="shared" si="5"/>
        <v>0.98330163917303626</v>
      </c>
      <c r="D79" s="6">
        <f t="shared" si="12"/>
        <v>0.96710130679109374</v>
      </c>
      <c r="E79" s="9">
        <f t="shared" si="6"/>
        <v>66.194425019587612</v>
      </c>
      <c r="F79" s="7">
        <f t="shared" si="13"/>
        <v>67.991767366390903</v>
      </c>
      <c r="G79" s="7">
        <f t="shared" si="7"/>
        <v>69.178942318390909</v>
      </c>
      <c r="H79" s="7">
        <f t="shared" si="8"/>
        <v>0.17640107746388167</v>
      </c>
      <c r="I79" s="7">
        <f t="shared" si="9"/>
        <v>2.0769731483387752</v>
      </c>
      <c r="J79" t="b">
        <f t="shared" si="14"/>
        <v>0</v>
      </c>
      <c r="K79" s="7">
        <f t="shared" si="15"/>
        <v>69.178942318390909</v>
      </c>
      <c r="L79" s="7">
        <f t="shared" si="10"/>
        <v>1.1789423183909093</v>
      </c>
      <c r="M79">
        <f t="shared" si="16"/>
        <v>1</v>
      </c>
      <c r="N79">
        <f t="shared" si="17"/>
        <v>1</v>
      </c>
      <c r="O79" s="3">
        <f t="shared" si="11"/>
        <v>37734.531817293013</v>
      </c>
    </row>
    <row r="80" spans="1:15" x14ac:dyDescent="0.25">
      <c r="A80">
        <f>'hours (1)'!A80</f>
        <v>69</v>
      </c>
      <c r="B80">
        <f>'hours (1)'!B80</f>
        <v>7894.17</v>
      </c>
      <c r="C80" s="6">
        <f t="shared" si="5"/>
        <v>0.98335959549110019</v>
      </c>
      <c r="D80" s="6">
        <f t="shared" si="12"/>
        <v>0.96758338293352475</v>
      </c>
      <c r="E80" s="9">
        <f t="shared" si="6"/>
        <v>67.194425019587612</v>
      </c>
      <c r="F80" s="7">
        <f t="shared" si="13"/>
        <v>68.991767366390903</v>
      </c>
      <c r="G80" s="7">
        <f t="shared" si="7"/>
        <v>70.178942318390909</v>
      </c>
      <c r="H80" s="7">
        <f t="shared" si="8"/>
        <v>0.17383206395431286</v>
      </c>
      <c r="I80" s="7">
        <f t="shared" si="9"/>
        <v>2.1549280313075942</v>
      </c>
      <c r="J80" t="b">
        <f t="shared" si="14"/>
        <v>0</v>
      </c>
      <c r="K80" s="7">
        <f t="shared" si="15"/>
        <v>70.178942318390909</v>
      </c>
      <c r="L80" s="7">
        <f t="shared" si="10"/>
        <v>1.1789423183909093</v>
      </c>
      <c r="M80">
        <f t="shared" si="16"/>
        <v>1</v>
      </c>
      <c r="N80">
        <f t="shared" si="17"/>
        <v>1</v>
      </c>
      <c r="O80" s="3">
        <f t="shared" si="11"/>
        <v>7761.5551332875802</v>
      </c>
    </row>
    <row r="81" spans="1:15" x14ac:dyDescent="0.25">
      <c r="A81">
        <f>'hours (1)'!A81</f>
        <v>70</v>
      </c>
      <c r="B81">
        <f>'hours (1)'!B81</f>
        <v>943717.2</v>
      </c>
      <c r="C81" s="6">
        <f t="shared" si="5"/>
        <v>0.99028804701996365</v>
      </c>
      <c r="D81" s="6">
        <f t="shared" si="12"/>
        <v>0.96768397374711301</v>
      </c>
      <c r="E81" s="9">
        <f t="shared" si="6"/>
        <v>68.194425019587612</v>
      </c>
      <c r="F81" s="7">
        <f t="shared" si="13"/>
        <v>69.991767366390903</v>
      </c>
      <c r="G81" s="7">
        <f t="shared" si="7"/>
        <v>71.178942318390909</v>
      </c>
      <c r="H81" s="7">
        <f t="shared" si="8"/>
        <v>0.17133681516640295</v>
      </c>
      <c r="I81" s="7">
        <f t="shared" si="9"/>
        <v>2.2337689303595023</v>
      </c>
      <c r="J81" t="b">
        <f t="shared" si="14"/>
        <v>0</v>
      </c>
      <c r="K81" s="7">
        <f t="shared" si="15"/>
        <v>71.178942318390909</v>
      </c>
      <c r="L81" s="7">
        <f t="shared" si="10"/>
        <v>1.1789423183909093</v>
      </c>
      <c r="M81">
        <f t="shared" si="16"/>
        <v>1</v>
      </c>
      <c r="N81">
        <f t="shared" si="17"/>
        <v>1</v>
      </c>
      <c r="O81" s="3">
        <f t="shared" si="11"/>
        <v>928086.33913813648</v>
      </c>
    </row>
    <row r="82" spans="1:15" x14ac:dyDescent="0.25">
      <c r="A82">
        <f>'hours (1)'!A82</f>
        <v>71</v>
      </c>
      <c r="B82">
        <f>'hours (1)'!B82</f>
        <v>4730.99</v>
      </c>
      <c r="C82" s="6">
        <f t="shared" si="5"/>
        <v>0.99032278034356791</v>
      </c>
      <c r="D82" s="6">
        <f t="shared" si="12"/>
        <v>0.97988349157173937</v>
      </c>
      <c r="E82" s="9">
        <f t="shared" si="6"/>
        <v>69.194425019587612</v>
      </c>
      <c r="F82" s="7">
        <f t="shared" si="13"/>
        <v>70.991767366390903</v>
      </c>
      <c r="G82" s="7">
        <f t="shared" si="7"/>
        <v>72.178942318390909</v>
      </c>
      <c r="H82" s="7">
        <f t="shared" si="8"/>
        <v>0.16891219856373799</v>
      </c>
      <c r="I82" s="7">
        <f t="shared" si="9"/>
        <v>2.3134700482416601</v>
      </c>
      <c r="J82" t="b">
        <f t="shared" si="14"/>
        <v>0</v>
      </c>
      <c r="K82" s="7">
        <f t="shared" si="15"/>
        <v>72.178942318390909</v>
      </c>
      <c r="L82" s="7">
        <f t="shared" si="10"/>
        <v>1.1789423183909093</v>
      </c>
      <c r="M82">
        <f t="shared" si="16"/>
        <v>1</v>
      </c>
      <c r="N82">
        <f t="shared" si="17"/>
        <v>1</v>
      </c>
      <c r="O82" s="3">
        <f t="shared" si="11"/>
        <v>4653.7158790482017</v>
      </c>
    </row>
    <row r="83" spans="1:15" x14ac:dyDescent="0.25">
      <c r="A83">
        <f>'hours (1)'!A83</f>
        <v>72</v>
      </c>
      <c r="B83">
        <f>'hours (1)'!B83</f>
        <v>165626.79999999999</v>
      </c>
      <c r="C83" s="6">
        <f t="shared" si="5"/>
        <v>0.99153875612071884</v>
      </c>
      <c r="D83" s="6">
        <f t="shared" si="12"/>
        <v>0.97994552319330619</v>
      </c>
      <c r="E83" s="9">
        <f t="shared" si="6"/>
        <v>70.194425019587612</v>
      </c>
      <c r="F83" s="7">
        <f t="shared" ref="F83:F103" si="18">$A83-$B$5*$B$12*$B$4*$B$9</f>
        <v>71.991767366390903</v>
      </c>
      <c r="G83" s="7">
        <f t="shared" si="7"/>
        <v>73.178942318390909</v>
      </c>
      <c r="H83" s="7">
        <f t="shared" si="8"/>
        <v>0.16655525653028419</v>
      </c>
      <c r="I83" s="7">
        <f t="shared" si="9"/>
        <v>2.3940066982231629</v>
      </c>
      <c r="J83" t="b">
        <f t="shared" ref="J83:J103" si="19">F83&lt;=$B$14</f>
        <v>0</v>
      </c>
      <c r="K83" s="7">
        <f t="shared" ref="K83:K103" si="20">IF(J83,F83,IF(H83&lt;I83,G83,$B$14))</f>
        <v>73.178942318390909</v>
      </c>
      <c r="L83" s="7">
        <f t="shared" si="10"/>
        <v>1.1789423183909093</v>
      </c>
      <c r="M83">
        <f t="shared" ref="M83:M103" si="21">IF($A83&gt;$B$15,1,0)</f>
        <v>1</v>
      </c>
      <c r="N83">
        <f t="shared" ref="N83:N103" si="22">IF($K83&gt;$B$15,1,0)</f>
        <v>1</v>
      </c>
      <c r="O83" s="3">
        <f t="shared" si="11"/>
        <v>162958.48535382623</v>
      </c>
    </row>
    <row r="84" spans="1:15" x14ac:dyDescent="0.25">
      <c r="A84">
        <f>'hours (1)'!A84</f>
        <v>73</v>
      </c>
      <c r="B84">
        <f>'hours (1)'!B84</f>
        <v>3488.9050000000002</v>
      </c>
      <c r="C84" s="6">
        <f t="shared" ref="C84:C103" si="23">B84/$B$105+C83</f>
        <v>0.99156437047762713</v>
      </c>
      <c r="D84" s="6">
        <f t="shared" si="12"/>
        <v>0.98214776936130443</v>
      </c>
      <c r="E84" s="9">
        <f t="shared" ref="E84:E103" si="24">$A84-$B$5*((1-$B$16)*$B$4*$B$9+$B$11)</f>
        <v>71.194425019587612</v>
      </c>
      <c r="F84" s="7">
        <f t="shared" si="18"/>
        <v>72.991767366390903</v>
      </c>
      <c r="G84" s="7">
        <f t="shared" ref="G84:G103" si="25">F84+$B$5*$B$13*(1-$B$16-$B$12)</f>
        <v>74.178942318390909</v>
      </c>
      <c r="H84" s="7">
        <f t="shared" ref="H84:H103" si="26">($E84/G84-1+LN(G84/$E84))/$B$5+($B$13+$B$4*$B$9)*(1-$B$16-$B$12)/G84+$B$11/G84</f>
        <v>0.16426319432738512</v>
      </c>
      <c r="I84" s="7">
        <f t="shared" ref="I84:I103" si="27">($E84/$B$14-1+LN($B$14/$E84))/$B$5+$B$4*$B$9*(1-$B$16-$B$12)/$B$14+$B$11/$B$14</f>
        <v>2.47535524125461</v>
      </c>
      <c r="J84" t="b">
        <f t="shared" si="19"/>
        <v>0</v>
      </c>
      <c r="K84" s="7">
        <f t="shared" si="20"/>
        <v>74.178942318390909</v>
      </c>
      <c r="L84" s="7">
        <f t="shared" ref="L84:L103" si="28">K84-$A84</f>
        <v>1.1789423183909093</v>
      </c>
      <c r="M84">
        <f t="shared" si="21"/>
        <v>1</v>
      </c>
      <c r="N84">
        <f t="shared" si="22"/>
        <v>1</v>
      </c>
      <c r="O84" s="3">
        <f t="shared" ref="O84:O103" si="29">$B84*$A84/$K84</f>
        <v>3433.4550620419891</v>
      </c>
    </row>
    <row r="85" spans="1:15" x14ac:dyDescent="0.25">
      <c r="A85">
        <f>'hours (1)'!A85</f>
        <v>74</v>
      </c>
      <c r="B85">
        <f>'hours (1)'!B85</f>
        <v>12714.73</v>
      </c>
      <c r="C85" s="6">
        <f t="shared" si="23"/>
        <v>0.99165771771184896</v>
      </c>
      <c r="D85" s="6">
        <f t="shared" ref="D85:D103" si="30">$A84*$B84/$A$105+D84</f>
        <v>0.98219480366939893</v>
      </c>
      <c r="E85" s="9">
        <f t="shared" si="24"/>
        <v>72.194425019587612</v>
      </c>
      <c r="F85" s="7">
        <f t="shared" si="18"/>
        <v>73.991767366390903</v>
      </c>
      <c r="G85" s="7">
        <f t="shared" si="25"/>
        <v>75.178942318390909</v>
      </c>
      <c r="H85" s="7">
        <f t="shared" si="26"/>
        <v>0.16203336903234708</v>
      </c>
      <c r="I85" s="7">
        <f t="shared" si="27"/>
        <v>2.5574930275106067</v>
      </c>
      <c r="J85" t="b">
        <f t="shared" si="19"/>
        <v>0</v>
      </c>
      <c r="K85" s="7">
        <f t="shared" si="20"/>
        <v>75.178942318390909</v>
      </c>
      <c r="L85" s="7">
        <f t="shared" si="28"/>
        <v>1.1789423183909093</v>
      </c>
      <c r="M85">
        <f t="shared" si="21"/>
        <v>1</v>
      </c>
      <c r="N85">
        <f t="shared" si="22"/>
        <v>1</v>
      </c>
      <c r="O85" s="3">
        <f t="shared" si="29"/>
        <v>12515.339947391512</v>
      </c>
    </row>
    <row r="86" spans="1:15" x14ac:dyDescent="0.25">
      <c r="A86">
        <f>'hours (1)'!A86</f>
        <v>75</v>
      </c>
      <c r="B86">
        <f>'hours (1)'!B86</f>
        <v>126759.7</v>
      </c>
      <c r="C86" s="6">
        <f t="shared" si="23"/>
        <v>0.99258834442635968</v>
      </c>
      <c r="D86" s="6">
        <f t="shared" si="30"/>
        <v>0.98236856039243303</v>
      </c>
      <c r="E86" s="9">
        <f t="shared" si="24"/>
        <v>73.194425019587612</v>
      </c>
      <c r="F86" s="7">
        <f t="shared" si="18"/>
        <v>74.991767366390903</v>
      </c>
      <c r="G86" s="7">
        <f t="shared" si="25"/>
        <v>76.178942318390909</v>
      </c>
      <c r="H86" s="7">
        <f t="shared" si="26"/>
        <v>0.15986327936651568</v>
      </c>
      <c r="I86" s="7">
        <f t="shared" si="27"/>
        <v>2.6403983419534565</v>
      </c>
      <c r="J86" t="b">
        <f t="shared" si="19"/>
        <v>0</v>
      </c>
      <c r="K86" s="7">
        <f t="shared" si="20"/>
        <v>76.178942318390909</v>
      </c>
      <c r="L86" s="7">
        <f t="shared" si="28"/>
        <v>1.1789423183909093</v>
      </c>
      <c r="M86">
        <f t="shared" si="21"/>
        <v>1</v>
      </c>
      <c r="N86">
        <f t="shared" si="22"/>
        <v>1</v>
      </c>
      <c r="O86" s="3">
        <f t="shared" si="29"/>
        <v>124797.97186295211</v>
      </c>
    </row>
    <row r="87" spans="1:15" x14ac:dyDescent="0.25">
      <c r="A87">
        <f>'hours (1)'!A87</f>
        <v>76</v>
      </c>
      <c r="B87">
        <f>'hours (1)'!B87</f>
        <v>10765.95</v>
      </c>
      <c r="C87" s="6">
        <f t="shared" si="23"/>
        <v>0.99266738437893998</v>
      </c>
      <c r="D87" s="6">
        <f t="shared" si="30"/>
        <v>0.98412423982493324</v>
      </c>
      <c r="E87" s="9">
        <f t="shared" si="24"/>
        <v>74.194425019587612</v>
      </c>
      <c r="F87" s="7">
        <f t="shared" si="18"/>
        <v>75.991767366390903</v>
      </c>
      <c r="G87" s="7">
        <f t="shared" si="25"/>
        <v>77.178942318390909</v>
      </c>
      <c r="H87" s="7">
        <f t="shared" si="26"/>
        <v>0.15775055633047996</v>
      </c>
      <c r="I87" s="7">
        <f t="shared" si="27"/>
        <v>2.7240503535905698</v>
      </c>
      <c r="J87" t="b">
        <f t="shared" si="19"/>
        <v>0</v>
      </c>
      <c r="K87" s="7">
        <f t="shared" si="20"/>
        <v>77.178942318390909</v>
      </c>
      <c r="L87" s="7">
        <f t="shared" si="28"/>
        <v>1.1789423183909093</v>
      </c>
      <c r="M87">
        <f t="shared" si="21"/>
        <v>1</v>
      </c>
      <c r="N87">
        <f t="shared" si="22"/>
        <v>1</v>
      </c>
      <c r="O87" s="3">
        <f t="shared" si="29"/>
        <v>10601.495374535976</v>
      </c>
    </row>
    <row r="88" spans="1:15" x14ac:dyDescent="0.25">
      <c r="A88">
        <f>'hours (1)'!A88</f>
        <v>77</v>
      </c>
      <c r="B88">
        <f>'hours (1)'!B88</f>
        <v>16431.21</v>
      </c>
      <c r="C88" s="6">
        <f t="shared" si="23"/>
        <v>0.99278801674851591</v>
      </c>
      <c r="D88" s="6">
        <f t="shared" si="30"/>
        <v>0.98427534130076622</v>
      </c>
      <c r="E88" s="9">
        <f t="shared" si="24"/>
        <v>75.194425019587612</v>
      </c>
      <c r="F88" s="7">
        <f t="shared" si="18"/>
        <v>76.991767366390903</v>
      </c>
      <c r="G88" s="7">
        <f t="shared" si="25"/>
        <v>78.178942318390909</v>
      </c>
      <c r="H88" s="7">
        <f t="shared" si="26"/>
        <v>0.15569295457266366</v>
      </c>
      <c r="I88" s="7">
        <f t="shared" si="27"/>
        <v>2.8084290681288633</v>
      </c>
      <c r="J88" t="b">
        <f t="shared" si="19"/>
        <v>0</v>
      </c>
      <c r="K88" s="7">
        <f t="shared" si="20"/>
        <v>78.178942318390909</v>
      </c>
      <c r="L88" s="7">
        <f t="shared" si="28"/>
        <v>1.1789423183909093</v>
      </c>
      <c r="M88">
        <f t="shared" si="21"/>
        <v>1</v>
      </c>
      <c r="N88">
        <f t="shared" si="22"/>
        <v>1</v>
      </c>
      <c r="O88" s="3">
        <f t="shared" si="29"/>
        <v>16183.426540197283</v>
      </c>
    </row>
    <row r="89" spans="1:15" x14ac:dyDescent="0.25">
      <c r="A89">
        <f>'hours (1)'!A89</f>
        <v>78</v>
      </c>
      <c r="B89">
        <f>'hours (1)'!B89</f>
        <v>12450.61</v>
      </c>
      <c r="C89" s="6">
        <f t="shared" si="23"/>
        <v>0.99287942490329972</v>
      </c>
      <c r="D89" s="6">
        <f t="shared" si="30"/>
        <v>0.98450898981665924</v>
      </c>
      <c r="E89" s="9">
        <f t="shared" si="24"/>
        <v>76.194425019587612</v>
      </c>
      <c r="F89" s="7">
        <f t="shared" si="18"/>
        <v>77.991767366390903</v>
      </c>
      <c r="G89" s="7">
        <f t="shared" si="25"/>
        <v>79.178942318390909</v>
      </c>
      <c r="H89" s="7">
        <f t="shared" si="26"/>
        <v>0.1536883444251414</v>
      </c>
      <c r="I89" s="7">
        <f t="shared" si="27"/>
        <v>2.8935152837568774</v>
      </c>
      <c r="J89" t="b">
        <f t="shared" si="19"/>
        <v>0</v>
      </c>
      <c r="K89" s="7">
        <f t="shared" si="20"/>
        <v>79.178942318390909</v>
      </c>
      <c r="L89" s="7">
        <f t="shared" si="28"/>
        <v>1.1789423183909093</v>
      </c>
      <c r="M89">
        <f t="shared" si="21"/>
        <v>1</v>
      </c>
      <c r="N89">
        <f t="shared" si="22"/>
        <v>1</v>
      </c>
      <c r="O89" s="3">
        <f t="shared" si="29"/>
        <v>12265.225469858688</v>
      </c>
    </row>
    <row r="90" spans="1:15" x14ac:dyDescent="0.25">
      <c r="A90">
        <f>'hours (1)'!A90</f>
        <v>80</v>
      </c>
      <c r="B90">
        <f>'hours (1)'!B90</f>
        <v>531263.1</v>
      </c>
      <c r="C90" s="6">
        <f t="shared" si="23"/>
        <v>0.99677977835391363</v>
      </c>
      <c r="D90" s="6">
        <f t="shared" si="30"/>
        <v>0.98468833428572189</v>
      </c>
      <c r="E90" s="9">
        <f t="shared" si="24"/>
        <v>78.194425019587612</v>
      </c>
      <c r="F90" s="7">
        <f t="shared" si="18"/>
        <v>79.991767366390903</v>
      </c>
      <c r="G90" s="7">
        <f t="shared" si="25"/>
        <v>81.178942318390909</v>
      </c>
      <c r="H90" s="7">
        <f t="shared" si="26"/>
        <v>0.14983011512369127</v>
      </c>
      <c r="I90" s="7">
        <f t="shared" si="27"/>
        <v>3.0657371280951748</v>
      </c>
      <c r="J90" t="b">
        <f t="shared" si="19"/>
        <v>0</v>
      </c>
      <c r="K90" s="7">
        <f t="shared" si="20"/>
        <v>81.178942318390909</v>
      </c>
      <c r="L90" s="7">
        <f t="shared" si="28"/>
        <v>1.1789423183909093</v>
      </c>
      <c r="M90">
        <f t="shared" si="21"/>
        <v>1</v>
      </c>
      <c r="N90">
        <f t="shared" si="22"/>
        <v>1</v>
      </c>
      <c r="O90" s="3">
        <f t="shared" si="29"/>
        <v>523547.69335756032</v>
      </c>
    </row>
    <row r="91" spans="1:15" x14ac:dyDescent="0.25">
      <c r="A91">
        <f>'hours (1)'!A91</f>
        <v>82</v>
      </c>
      <c r="B91">
        <f>'hours (1)'!B91</f>
        <v>6209.24</v>
      </c>
      <c r="C91" s="6">
        <f t="shared" si="23"/>
        <v>0.99682536448752557</v>
      </c>
      <c r="D91" s="6">
        <f t="shared" si="30"/>
        <v>0.99253711859527838</v>
      </c>
      <c r="E91" s="9">
        <f t="shared" si="24"/>
        <v>80.194425019587612</v>
      </c>
      <c r="F91" s="7">
        <f t="shared" si="18"/>
        <v>81.991767366390903</v>
      </c>
      <c r="G91" s="7">
        <f t="shared" si="25"/>
        <v>83.178942318390909</v>
      </c>
      <c r="H91" s="7">
        <f t="shared" si="26"/>
        <v>0.14616087869253477</v>
      </c>
      <c r="I91" s="7">
        <f t="shared" si="27"/>
        <v>3.240576615922607</v>
      </c>
      <c r="J91" t="b">
        <f t="shared" si="19"/>
        <v>0</v>
      </c>
      <c r="K91" s="7">
        <f t="shared" si="20"/>
        <v>83.178942318390909</v>
      </c>
      <c r="L91" s="7">
        <f t="shared" si="28"/>
        <v>1.1789423183909093</v>
      </c>
      <c r="M91">
        <f t="shared" si="21"/>
        <v>1</v>
      </c>
      <c r="N91">
        <f t="shared" si="22"/>
        <v>1</v>
      </c>
      <c r="O91" s="3">
        <f t="shared" si="29"/>
        <v>6121.232920359279</v>
      </c>
    </row>
    <row r="92" spans="1:15" x14ac:dyDescent="0.25">
      <c r="A92">
        <f>'hours (1)'!A92</f>
        <v>84</v>
      </c>
      <c r="B92">
        <f>'hours (1)'!B92</f>
        <v>99227.9</v>
      </c>
      <c r="C92" s="6">
        <f t="shared" si="23"/>
        <v>0.99755386206652585</v>
      </c>
      <c r="D92" s="6">
        <f t="shared" si="30"/>
        <v>0.99263114613101999</v>
      </c>
      <c r="E92" s="9">
        <f t="shared" si="24"/>
        <v>82.194425019587612</v>
      </c>
      <c r="F92" s="7">
        <f t="shared" si="18"/>
        <v>83.991767366390903</v>
      </c>
      <c r="G92" s="7">
        <f t="shared" si="25"/>
        <v>85.178942318390909</v>
      </c>
      <c r="H92" s="7">
        <f t="shared" si="26"/>
        <v>0.14266707913526866</v>
      </c>
      <c r="I92" s="7">
        <f t="shared" si="27"/>
        <v>3.4179047703635108</v>
      </c>
      <c r="J92" t="b">
        <f t="shared" si="19"/>
        <v>0</v>
      </c>
      <c r="K92" s="7">
        <f t="shared" si="20"/>
        <v>85.178942318390909</v>
      </c>
      <c r="L92" s="7">
        <f t="shared" si="28"/>
        <v>1.1789423183909093</v>
      </c>
      <c r="M92">
        <f t="shared" si="21"/>
        <v>1</v>
      </c>
      <c r="N92">
        <f t="shared" si="22"/>
        <v>1</v>
      </c>
      <c r="O92" s="3">
        <f t="shared" si="29"/>
        <v>97854.509261737636</v>
      </c>
    </row>
    <row r="93" spans="1:15" x14ac:dyDescent="0.25">
      <c r="A93">
        <f>'hours (1)'!A93</f>
        <v>85</v>
      </c>
      <c r="B93">
        <f>'hours (1)'!B93</f>
        <v>40490.76</v>
      </c>
      <c r="C93" s="6">
        <f t="shared" si="23"/>
        <v>0.99785113149006377</v>
      </c>
      <c r="D93" s="6">
        <f t="shared" si="30"/>
        <v>0.9941704198050616</v>
      </c>
      <c r="E93" s="9">
        <f t="shared" si="24"/>
        <v>83.194425019587612</v>
      </c>
      <c r="F93" s="7">
        <f t="shared" si="18"/>
        <v>84.991767366390903</v>
      </c>
      <c r="G93" s="7">
        <f t="shared" si="25"/>
        <v>86.178942318390909</v>
      </c>
      <c r="H93" s="7">
        <f t="shared" si="26"/>
        <v>0.14098208228229081</v>
      </c>
      <c r="I93" s="7">
        <f t="shared" si="27"/>
        <v>3.507464360886221</v>
      </c>
      <c r="J93" t="b">
        <f t="shared" si="19"/>
        <v>0</v>
      </c>
      <c r="K93" s="7">
        <f t="shared" si="20"/>
        <v>86.178942318390909</v>
      </c>
      <c r="L93" s="7">
        <f t="shared" si="28"/>
        <v>1.1789423183909093</v>
      </c>
      <c r="M93">
        <f t="shared" si="21"/>
        <v>1</v>
      </c>
      <c r="N93">
        <f t="shared" si="22"/>
        <v>1</v>
      </c>
      <c r="O93" s="3">
        <f t="shared" si="29"/>
        <v>39936.839643314182</v>
      </c>
    </row>
    <row r="94" spans="1:15" x14ac:dyDescent="0.25">
      <c r="A94">
        <f>'hours (1)'!A94</f>
        <v>86</v>
      </c>
      <c r="B94">
        <f>'hours (1)'!B94</f>
        <v>3958.3539999999998</v>
      </c>
      <c r="C94" s="6">
        <f t="shared" si="23"/>
        <v>0.99788019238227077</v>
      </c>
      <c r="D94" s="6">
        <f t="shared" si="30"/>
        <v>0.99480601061567997</v>
      </c>
      <c r="E94" s="9">
        <f t="shared" si="24"/>
        <v>84.194425019587612</v>
      </c>
      <c r="F94" s="7">
        <f t="shared" si="18"/>
        <v>85.991767366390903</v>
      </c>
      <c r="G94" s="7">
        <f t="shared" si="25"/>
        <v>87.178942318390909</v>
      </c>
      <c r="H94" s="7">
        <f t="shared" si="26"/>
        <v>0.13933642676145333</v>
      </c>
      <c r="I94" s="7">
        <f t="shared" si="27"/>
        <v>3.5976019182431918</v>
      </c>
      <c r="J94" t="b">
        <f t="shared" si="19"/>
        <v>0</v>
      </c>
      <c r="K94" s="7">
        <f t="shared" si="20"/>
        <v>87.178942318390909</v>
      </c>
      <c r="L94" s="7">
        <f t="shared" si="28"/>
        <v>1.1789423183909093</v>
      </c>
      <c r="M94">
        <f t="shared" si="21"/>
        <v>1</v>
      </c>
      <c r="N94">
        <f t="shared" si="22"/>
        <v>1</v>
      </c>
      <c r="O94" s="3">
        <f t="shared" si="29"/>
        <v>3904.8242034956038</v>
      </c>
    </row>
    <row r="95" spans="1:15" x14ac:dyDescent="0.25">
      <c r="A95">
        <f>'hours (1)'!A95</f>
        <v>87</v>
      </c>
      <c r="B95">
        <f>'hours (1)'!B95</f>
        <v>2262.6280000000002</v>
      </c>
      <c r="C95" s="6">
        <f t="shared" si="23"/>
        <v>0.99789680382945622</v>
      </c>
      <c r="D95" s="6">
        <f t="shared" si="30"/>
        <v>0.9948688766170537</v>
      </c>
      <c r="E95" s="9">
        <f t="shared" si="24"/>
        <v>85.194425019587612</v>
      </c>
      <c r="F95" s="7">
        <f t="shared" si="18"/>
        <v>86.991767366390903</v>
      </c>
      <c r="G95" s="7">
        <f t="shared" si="25"/>
        <v>88.178942318390909</v>
      </c>
      <c r="H95" s="7">
        <f t="shared" si="26"/>
        <v>0.13772875052419478</v>
      </c>
      <c r="I95" s="7">
        <f t="shared" si="27"/>
        <v>3.6883037936677932</v>
      </c>
      <c r="J95" t="b">
        <f t="shared" si="19"/>
        <v>0</v>
      </c>
      <c r="K95" s="7">
        <f t="shared" si="20"/>
        <v>88.178942318390909</v>
      </c>
      <c r="L95" s="7">
        <f t="shared" si="28"/>
        <v>1.1789423183909093</v>
      </c>
      <c r="M95">
        <f t="shared" si="21"/>
        <v>1</v>
      </c>
      <c r="N95">
        <f t="shared" si="22"/>
        <v>1</v>
      </c>
      <c r="O95" s="3">
        <f t="shared" si="29"/>
        <v>2232.3769238377968</v>
      </c>
    </row>
    <row r="96" spans="1:15" x14ac:dyDescent="0.25">
      <c r="A96">
        <f>'hours (1)'!A96</f>
        <v>89</v>
      </c>
      <c r="B96">
        <f>'hours (1)'!B96</f>
        <v>1479.48</v>
      </c>
      <c r="C96" s="6">
        <f t="shared" si="23"/>
        <v>0.99790766566970657</v>
      </c>
      <c r="D96" s="6">
        <f t="shared" si="30"/>
        <v>0.9949052291908913</v>
      </c>
      <c r="E96" s="9">
        <f t="shared" si="24"/>
        <v>87.194425019587612</v>
      </c>
      <c r="F96" s="7">
        <f t="shared" si="18"/>
        <v>88.991767366390903</v>
      </c>
      <c r="G96" s="7">
        <f t="shared" si="25"/>
        <v>90.178942318390909</v>
      </c>
      <c r="H96" s="7">
        <f t="shared" si="26"/>
        <v>0.13462219501557937</v>
      </c>
      <c r="I96" s="7">
        <f t="shared" si="27"/>
        <v>3.8713482708031703</v>
      </c>
      <c r="J96" t="b">
        <f t="shared" si="19"/>
        <v>0</v>
      </c>
      <c r="K96" s="7">
        <f t="shared" si="20"/>
        <v>90.178942318390909</v>
      </c>
      <c r="L96" s="7">
        <f t="shared" si="28"/>
        <v>1.1789423183909093</v>
      </c>
      <c r="M96">
        <f t="shared" si="21"/>
        <v>1</v>
      </c>
      <c r="N96">
        <f t="shared" si="22"/>
        <v>1</v>
      </c>
      <c r="O96" s="3">
        <f t="shared" si="29"/>
        <v>1460.1382164708173</v>
      </c>
    </row>
    <row r="97" spans="1:15" x14ac:dyDescent="0.25">
      <c r="A97">
        <f>'hours (1)'!A97</f>
        <v>90</v>
      </c>
      <c r="B97">
        <f>'hours (1)'!B97</f>
        <v>65667.17</v>
      </c>
      <c r="C97" s="6">
        <f t="shared" si="23"/>
        <v>0.99838977175443477</v>
      </c>
      <c r="D97" s="6">
        <f t="shared" si="30"/>
        <v>0.99492954573545078</v>
      </c>
      <c r="E97" s="9">
        <f t="shared" si="24"/>
        <v>88.194425019587612</v>
      </c>
      <c r="F97" s="7">
        <f t="shared" si="18"/>
        <v>89.991767366390903</v>
      </c>
      <c r="G97" s="7">
        <f t="shared" si="25"/>
        <v>91.178942318390909</v>
      </c>
      <c r="H97" s="7">
        <f t="shared" si="26"/>
        <v>0.13312088867117644</v>
      </c>
      <c r="I97" s="7">
        <f t="shared" si="27"/>
        <v>3.9636658772427014</v>
      </c>
      <c r="J97" t="b">
        <f t="shared" si="19"/>
        <v>0</v>
      </c>
      <c r="K97" s="7">
        <f t="shared" si="20"/>
        <v>91.178942318390909</v>
      </c>
      <c r="L97" s="7">
        <f t="shared" si="28"/>
        <v>1.1789423183909093</v>
      </c>
      <c r="M97">
        <f t="shared" si="21"/>
        <v>1</v>
      </c>
      <c r="N97">
        <f t="shared" si="22"/>
        <v>1</v>
      </c>
      <c r="O97" s="3">
        <f t="shared" si="29"/>
        <v>64818.094504348468</v>
      </c>
    </row>
    <row r="98" spans="1:15" x14ac:dyDescent="0.25">
      <c r="A98">
        <f>'hours (1)'!A98</f>
        <v>91</v>
      </c>
      <c r="B98">
        <f>'hours (1)'!B98</f>
        <v>8320.6910000000007</v>
      </c>
      <c r="C98" s="6">
        <f t="shared" si="23"/>
        <v>0.99845085944498457</v>
      </c>
      <c r="D98" s="6">
        <f t="shared" si="30"/>
        <v>0.99602096990031863</v>
      </c>
      <c r="E98" s="9">
        <f t="shared" si="24"/>
        <v>89.194425019587612</v>
      </c>
      <c r="F98" s="7">
        <f t="shared" si="18"/>
        <v>90.991767366390903</v>
      </c>
      <c r="G98" s="7">
        <f t="shared" si="25"/>
        <v>92.178942318390909</v>
      </c>
      <c r="H98" s="7">
        <f t="shared" si="26"/>
        <v>0.13165270113699323</v>
      </c>
      <c r="I98" s="7">
        <f t="shared" si="27"/>
        <v>4.0564977707972592</v>
      </c>
      <c r="J98" t="b">
        <f t="shared" si="19"/>
        <v>0</v>
      </c>
      <c r="K98" s="7">
        <f t="shared" si="20"/>
        <v>92.178942318390909</v>
      </c>
      <c r="L98" s="7">
        <f t="shared" si="28"/>
        <v>1.1789423183909093</v>
      </c>
      <c r="M98">
        <f t="shared" si="21"/>
        <v>1</v>
      </c>
      <c r="N98">
        <f t="shared" si="22"/>
        <v>1</v>
      </c>
      <c r="O98" s="3">
        <f t="shared" si="29"/>
        <v>8214.2717409866837</v>
      </c>
    </row>
    <row r="99" spans="1:15" x14ac:dyDescent="0.25">
      <c r="A99">
        <f>'hours (1)'!A99</f>
        <v>94</v>
      </c>
      <c r="B99">
        <f>'hours (1)'!B99</f>
        <v>1838.39</v>
      </c>
      <c r="C99" s="6">
        <f t="shared" si="23"/>
        <v>0.99846435628069563</v>
      </c>
      <c r="D99" s="6">
        <f t="shared" si="30"/>
        <v>0.99616080092556436</v>
      </c>
      <c r="E99" s="9">
        <f t="shared" si="24"/>
        <v>92.194425019587612</v>
      </c>
      <c r="F99" s="7">
        <f t="shared" si="18"/>
        <v>93.991767366390903</v>
      </c>
      <c r="G99" s="7">
        <f t="shared" si="25"/>
        <v>95.178942318390909</v>
      </c>
      <c r="H99" s="7">
        <f t="shared" si="26"/>
        <v>0.12743624250534893</v>
      </c>
      <c r="I99" s="7">
        <f t="shared" si="27"/>
        <v>4.3379663753773769</v>
      </c>
      <c r="J99" t="b">
        <f t="shared" si="19"/>
        <v>0</v>
      </c>
      <c r="K99" s="7">
        <f t="shared" si="20"/>
        <v>95.178942318390909</v>
      </c>
      <c r="L99" s="7">
        <f t="shared" si="28"/>
        <v>1.1789423183909093</v>
      </c>
      <c r="M99">
        <f t="shared" si="21"/>
        <v>1</v>
      </c>
      <c r="N99">
        <f t="shared" si="22"/>
        <v>1</v>
      </c>
      <c r="O99" s="3">
        <f t="shared" si="29"/>
        <v>1815.6186209962655</v>
      </c>
    </row>
    <row r="100" spans="1:15" x14ac:dyDescent="0.25">
      <c r="A100">
        <f>'hours (1)'!A100</f>
        <v>95</v>
      </c>
      <c r="B100">
        <f>'hours (1)'!B100</f>
        <v>4809.4799999999996</v>
      </c>
      <c r="C100" s="6">
        <f t="shared" si="23"/>
        <v>0.99849966585125238</v>
      </c>
      <c r="D100" s="6">
        <f t="shared" si="30"/>
        <v>0.99619271397154774</v>
      </c>
      <c r="E100" s="9">
        <f t="shared" si="24"/>
        <v>93.194425019587612</v>
      </c>
      <c r="F100" s="7">
        <f t="shared" si="18"/>
        <v>94.991767366390903</v>
      </c>
      <c r="G100" s="7">
        <f t="shared" si="25"/>
        <v>96.178942318390909</v>
      </c>
      <c r="H100" s="7">
        <f t="shared" si="26"/>
        <v>0.12609014550182629</v>
      </c>
      <c r="I100" s="7">
        <f t="shared" si="27"/>
        <v>4.4327444500736846</v>
      </c>
      <c r="J100" t="b">
        <f t="shared" si="19"/>
        <v>0</v>
      </c>
      <c r="K100" s="7">
        <f t="shared" si="20"/>
        <v>96.178942318390909</v>
      </c>
      <c r="L100" s="7">
        <f t="shared" si="28"/>
        <v>1.1789423183909093</v>
      </c>
      <c r="M100">
        <f t="shared" si="21"/>
        <v>1</v>
      </c>
      <c r="N100">
        <f t="shared" si="22"/>
        <v>1</v>
      </c>
      <c r="O100" s="3">
        <f t="shared" si="29"/>
        <v>4750.5263520935341</v>
      </c>
    </row>
    <row r="101" spans="1:15" x14ac:dyDescent="0.25">
      <c r="A101">
        <f>'hours (1)'!A101</f>
        <v>96</v>
      </c>
      <c r="B101">
        <f>'hours (1)'!B101</f>
        <v>21508.49</v>
      </c>
      <c r="C101" s="6">
        <f t="shared" si="23"/>
        <v>0.9986575738881347</v>
      </c>
      <c r="D101" s="6">
        <f t="shared" si="30"/>
        <v>0.99627709104997431</v>
      </c>
      <c r="E101" s="9">
        <f t="shared" si="24"/>
        <v>94.194425019587612</v>
      </c>
      <c r="F101" s="7">
        <f t="shared" si="18"/>
        <v>95.991767366390903</v>
      </c>
      <c r="G101" s="7">
        <f t="shared" si="25"/>
        <v>97.178942318390909</v>
      </c>
      <c r="H101" s="7">
        <f t="shared" si="26"/>
        <v>0.12477219092946679</v>
      </c>
      <c r="I101" s="7">
        <f t="shared" si="27"/>
        <v>4.5279831048258075</v>
      </c>
      <c r="J101" t="b">
        <f t="shared" si="19"/>
        <v>0</v>
      </c>
      <c r="K101" s="7">
        <f t="shared" si="20"/>
        <v>97.178942318390909</v>
      </c>
      <c r="L101" s="7">
        <f t="shared" si="28"/>
        <v>1.1789423183909093</v>
      </c>
      <c r="M101">
        <f t="shared" si="21"/>
        <v>1</v>
      </c>
      <c r="N101">
        <f t="shared" si="22"/>
        <v>1</v>
      </c>
      <c r="O101" s="3">
        <f t="shared" si="29"/>
        <v>21247.556216808487</v>
      </c>
    </row>
    <row r="102" spans="1:15" x14ac:dyDescent="0.25">
      <c r="A102">
        <f>'hours (1)'!A102</f>
        <v>98</v>
      </c>
      <c r="B102">
        <f>'hours (1)'!B102</f>
        <v>7515.9690000000001</v>
      </c>
      <c r="C102" s="6">
        <f t="shared" si="23"/>
        <v>0.99871275358276035</v>
      </c>
      <c r="D102" s="6">
        <f t="shared" si="30"/>
        <v>0.99665840606809075</v>
      </c>
      <c r="E102" s="9">
        <f t="shared" si="24"/>
        <v>96.194425019587612</v>
      </c>
      <c r="F102" s="7">
        <f t="shared" si="18"/>
        <v>97.991767366390903</v>
      </c>
      <c r="G102" s="7">
        <f t="shared" si="25"/>
        <v>99.178942318390909</v>
      </c>
      <c r="H102" s="7">
        <f t="shared" si="26"/>
        <v>0.12221725091214033</v>
      </c>
      <c r="I102" s="7">
        <f t="shared" si="27"/>
        <v>4.7198035475338571</v>
      </c>
      <c r="J102" t="b">
        <f t="shared" si="19"/>
        <v>0</v>
      </c>
      <c r="K102" s="7">
        <f t="shared" si="20"/>
        <v>99.178942318390909</v>
      </c>
      <c r="L102" s="7">
        <f t="shared" si="28"/>
        <v>1.1789423183909093</v>
      </c>
      <c r="M102">
        <f t="shared" si="21"/>
        <v>1</v>
      </c>
      <c r="N102">
        <f t="shared" si="22"/>
        <v>1</v>
      </c>
      <c r="O102" s="3">
        <f t="shared" si="29"/>
        <v>7426.6265074236189</v>
      </c>
    </row>
    <row r="103" spans="1:15" x14ac:dyDescent="0.25">
      <c r="A103">
        <f>'hours (1)'!A103</f>
        <v>99</v>
      </c>
      <c r="B103">
        <f>'hours (1)'!B103</f>
        <v>175334.5</v>
      </c>
      <c r="C103">
        <f t="shared" si="23"/>
        <v>1</v>
      </c>
      <c r="D103" s="6">
        <f t="shared" si="30"/>
        <v>0.99679442952607034</v>
      </c>
      <c r="E103" s="9">
        <f t="shared" si="24"/>
        <v>97.194425019587612</v>
      </c>
      <c r="F103" s="7">
        <f t="shared" si="18"/>
        <v>98.991767366390903</v>
      </c>
      <c r="G103" s="7">
        <f t="shared" si="25"/>
        <v>100.17894231839091</v>
      </c>
      <c r="H103" s="7">
        <f t="shared" si="26"/>
        <v>0.12097862402311332</v>
      </c>
      <c r="I103" s="7">
        <f t="shared" si="27"/>
        <v>4.8163667818450637</v>
      </c>
      <c r="J103" t="b">
        <f t="shared" si="19"/>
        <v>0</v>
      </c>
      <c r="K103" s="7">
        <f t="shared" si="20"/>
        <v>100.17894231839091</v>
      </c>
      <c r="L103" s="7">
        <f t="shared" si="28"/>
        <v>1.1789423183909093</v>
      </c>
      <c r="M103">
        <f t="shared" si="21"/>
        <v>1</v>
      </c>
      <c r="N103">
        <f t="shared" si="22"/>
        <v>1</v>
      </c>
      <c r="O103" s="3">
        <f t="shared" si="29"/>
        <v>173271.09967713631</v>
      </c>
    </row>
    <row r="105" spans="1:15" x14ac:dyDescent="0.25">
      <c r="A105" s="3">
        <f>SUMPRODUCT($A$19:$A$103,$B$19:$B$103)</f>
        <v>5414984833.7980003</v>
      </c>
      <c r="B105" s="3">
        <f>SUM(B19:B103)</f>
        <v>136208963.29699999</v>
      </c>
    </row>
  </sheetData>
  <mergeCells count="2">
    <mergeCell ref="F17:G17"/>
    <mergeCell ref="H17:I17"/>
  </mergeCells>
  <dataValidations count="1">
    <dataValidation type="whole" allowBlank="1" showInputMessage="1" showErrorMessage="1" sqref="C1">
      <formula1>1</formula1>
      <formula2>4</formula2>
    </dataValidation>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3"/>
  <sheetViews>
    <sheetView zoomScale="125" zoomScaleNormal="125" zoomScalePageLayoutView="125" workbookViewId="0"/>
  </sheetViews>
  <sheetFormatPr defaultColWidth="11" defaultRowHeight="15.75" x14ac:dyDescent="0.25"/>
  <cols>
    <col min="1" max="1" width="32.375" bestFit="1" customWidth="1"/>
    <col min="2" max="2" width="6" customWidth="1"/>
    <col min="3" max="3" width="9.625" bestFit="1" customWidth="1"/>
    <col min="4" max="4" width="9.625" customWidth="1"/>
    <col min="6" max="6" width="6" customWidth="1"/>
    <col min="7" max="7" width="8.375" customWidth="1"/>
    <col min="8" max="9" width="9.625" customWidth="1"/>
    <col min="10" max="10" width="6.875" bestFit="1" customWidth="1"/>
    <col min="11" max="11" width="6.875" customWidth="1"/>
    <col min="12" max="15" width="6.875" hidden="1" customWidth="1"/>
    <col min="16" max="16" width="7.125" customWidth="1"/>
    <col min="17" max="17" width="6" customWidth="1"/>
    <col min="18" max="18" width="8.375" customWidth="1"/>
    <col min="19" max="21" width="7.125" customWidth="1"/>
    <col min="23" max="23" width="8.625" bestFit="1" customWidth="1"/>
    <col min="24" max="24" width="7.625" bestFit="1" customWidth="1"/>
    <col min="25" max="25" width="8" bestFit="1" customWidth="1"/>
    <col min="26" max="26" width="9.125" bestFit="1" customWidth="1"/>
    <col min="27" max="27" width="9.125" customWidth="1"/>
  </cols>
  <sheetData>
    <row r="1" spans="1:28" x14ac:dyDescent="0.25">
      <c r="A1" s="5" t="str">
        <f>"Sectors: "&amp;VLOOKUP($C$1,ParametersTax!$B$16:$G$20,6)&amp;" group"</f>
        <v>Sectors: Without ESI spouse group</v>
      </c>
      <c r="C1">
        <f>'hours (4)'!$C$1</f>
        <v>4</v>
      </c>
    </row>
    <row r="3" spans="1:28" x14ac:dyDescent="0.25">
      <c r="A3" s="1" t="s">
        <v>0</v>
      </c>
      <c r="F3" s="10" t="s">
        <v>33</v>
      </c>
      <c r="G3" s="10" t="s">
        <v>34</v>
      </c>
      <c r="H3" s="10" t="s">
        <v>46</v>
      </c>
      <c r="I3" s="11" t="s">
        <v>60</v>
      </c>
    </row>
    <row r="4" spans="1:28" x14ac:dyDescent="0.25">
      <c r="A4" t="s">
        <v>2</v>
      </c>
      <c r="B4" s="9">
        <f>ParametersOther!$B$4</f>
        <v>9.4905032911790893E-2</v>
      </c>
      <c r="E4" t="s">
        <v>35</v>
      </c>
      <c r="F4" s="6">
        <f>ParametersTax!$B$27</f>
        <v>0.93816857754198113</v>
      </c>
      <c r="G4" s="6">
        <f>$B$8*($R$16^($B$7/($B$7-1)))</f>
        <v>0.93816990200932548</v>
      </c>
      <c r="H4">
        <f>(1-G4/F4)^2</f>
        <v>1.9930617027450455E-12</v>
      </c>
      <c r="I4" s="6">
        <f>LN(G4)</f>
        <v>-6.3824214172265845E-2</v>
      </c>
    </row>
    <row r="5" spans="1:28" x14ac:dyDescent="0.25">
      <c r="A5" t="s">
        <v>1</v>
      </c>
      <c r="B5" s="9">
        <f>ParametersOther!$B$5</f>
        <v>0.25</v>
      </c>
      <c r="E5" t="s">
        <v>36</v>
      </c>
      <c r="F5" s="6">
        <f>ParametersTax!$B$33</f>
        <v>0.73310540867170826</v>
      </c>
      <c r="G5" s="6">
        <f>$K$14</f>
        <v>0.73310497634972027</v>
      </c>
      <c r="I5" s="6">
        <f>LN(K14/F14)</f>
        <v>-7.1781914390803281E-2</v>
      </c>
    </row>
    <row r="6" spans="1:28" x14ac:dyDescent="0.25">
      <c r="A6" t="s">
        <v>27</v>
      </c>
      <c r="B6" s="29">
        <f>ParametersOther!B6</f>
        <v>0.5</v>
      </c>
      <c r="E6" t="s">
        <v>37</v>
      </c>
      <c r="F6" s="9">
        <f>(F4/$B$8)^(1/$B$7)</f>
        <v>6.107116714670366</v>
      </c>
    </row>
    <row r="7" spans="1:28" x14ac:dyDescent="0.25">
      <c r="A7" t="s">
        <v>38</v>
      </c>
      <c r="B7" s="7">
        <f>ParametersOther!B7</f>
        <v>2</v>
      </c>
      <c r="F7" s="9"/>
    </row>
    <row r="8" spans="1:28" x14ac:dyDescent="0.25">
      <c r="A8" t="s">
        <v>26</v>
      </c>
      <c r="B8" s="9">
        <f>ParametersOther!B8</f>
        <v>2.5154080293418805E-2</v>
      </c>
      <c r="E8" t="s">
        <v>61</v>
      </c>
      <c r="G8">
        <f>G4/$P$16</f>
        <v>2.5149869583557263E-2</v>
      </c>
      <c r="I8" s="28">
        <f>LN(G8/B8)</f>
        <v>-1.6741070558765061E-4</v>
      </c>
    </row>
    <row r="9" spans="1:28" x14ac:dyDescent="0.25">
      <c r="A9" t="s">
        <v>3</v>
      </c>
      <c r="B9" s="7">
        <f>'hours (4)'!B9</f>
        <v>43.288296761716524</v>
      </c>
      <c r="E9" t="s">
        <v>65</v>
      </c>
      <c r="G9" s="29">
        <f>SUMPRODUCT($P$19:$P$103,$U$19:$U$103)/SUM($P$19:$P$103)</f>
        <v>0.64932811452389583</v>
      </c>
    </row>
    <row r="10" spans="1:28" x14ac:dyDescent="0.25">
      <c r="A10" t="s">
        <v>17</v>
      </c>
      <c r="B10" s="7">
        <f>'hours (4)'!B10</f>
        <v>22.693124757509004</v>
      </c>
    </row>
    <row r="11" spans="1:28" x14ac:dyDescent="0.25">
      <c r="A11" t="s">
        <v>6</v>
      </c>
      <c r="B11" s="7">
        <f>ParametersOther!B16</f>
        <v>4.1410920000000004</v>
      </c>
    </row>
    <row r="12" spans="1:28" x14ac:dyDescent="0.25">
      <c r="A12" t="s">
        <v>7</v>
      </c>
      <c r="B12" s="14">
        <f>VLOOKUP($C$1,ParametersTax!$B$16:$E$20,3)</f>
        <v>8.0156553713026449E-3</v>
      </c>
    </row>
    <row r="13" spans="1:28" x14ac:dyDescent="0.25">
      <c r="A13" t="s">
        <v>39</v>
      </c>
      <c r="B13" s="7">
        <f>VLOOKUP($C$1,ParametersTax!$B$16:$E$20,2)</f>
        <v>6.4000000032026785</v>
      </c>
      <c r="S13" s="6"/>
      <c r="T13" s="6"/>
      <c r="U13" s="6"/>
    </row>
    <row r="14" spans="1:28" x14ac:dyDescent="0.25">
      <c r="A14" t="s">
        <v>9</v>
      </c>
      <c r="B14" s="7">
        <f>ParametersOther!$B$11</f>
        <v>29</v>
      </c>
      <c r="F14" s="23">
        <f>1-$E$16*$B$15</f>
        <v>0.78766338381257994</v>
      </c>
      <c r="G14" s="104" t="s">
        <v>55</v>
      </c>
      <c r="H14" s="104"/>
      <c r="I14" s="104"/>
      <c r="J14" s="104"/>
      <c r="K14" s="23">
        <f>$Y$16</f>
        <v>0.73310497634972027</v>
      </c>
      <c r="P14" s="17">
        <f>MAX(ABS(MIN(O$19:O$103)),MAX(O$19:O$103))</f>
        <v>6.659939170550605E-4</v>
      </c>
      <c r="S14" s="6"/>
      <c r="T14" s="6"/>
      <c r="U14" s="6"/>
    </row>
    <row r="15" spans="1:28" x14ac:dyDescent="0.25">
      <c r="A15" t="s">
        <v>25</v>
      </c>
      <c r="B15" s="7">
        <f>ParametersOther!$B$19</f>
        <v>39.754981630619795</v>
      </c>
      <c r="C15" s="102" t="s">
        <v>28</v>
      </c>
      <c r="D15" s="102"/>
      <c r="E15" s="102"/>
      <c r="F15" s="102"/>
      <c r="G15" s="102"/>
      <c r="H15" s="95" t="s">
        <v>29</v>
      </c>
      <c r="I15" s="95"/>
      <c r="J15" s="95"/>
      <c r="K15" s="95"/>
      <c r="L15" s="95"/>
      <c r="M15" s="95"/>
      <c r="N15" s="95"/>
      <c r="O15" s="95"/>
      <c r="P15" s="95"/>
      <c r="Q15" s="95"/>
      <c r="R15" s="95"/>
      <c r="S15" s="95"/>
      <c r="T15" s="95"/>
      <c r="U15" s="95"/>
      <c r="V15" s="95"/>
      <c r="W15" s="95"/>
      <c r="X15" s="95"/>
    </row>
    <row r="16" spans="1:28" x14ac:dyDescent="0.25">
      <c r="A16" t="s">
        <v>68</v>
      </c>
      <c r="B16" s="14">
        <f>ParametersOther!$B$21</f>
        <v>0.25</v>
      </c>
      <c r="C16" s="24">
        <f>SUMPRODUCT(C$19:C$103,$D$19:$D$103)/COUNT($D$19:$D$103)</f>
        <v>39.754981630619874</v>
      </c>
      <c r="D16" s="25">
        <f>SUMPRODUCT($A$19:$A$103,D$19:D$103)</f>
        <v>1</v>
      </c>
      <c r="E16" s="45">
        <f>SUMPRODUCT($A$19:$A$103,E$19:E$103)</f>
        <v>5.3411322928112155E-3</v>
      </c>
      <c r="F16" s="45">
        <f>SUMPRODUCT($A$19:$A$103,F$19:F$103)</f>
        <v>4.6912770354079047E-3</v>
      </c>
      <c r="G16" s="9"/>
      <c r="H16" s="7">
        <f>SUMPRODUCT($A$19:$A$103,$D$19:$D$103,H$19:H$103)</f>
        <v>40.230593379903532</v>
      </c>
      <c r="I16" s="9">
        <f>SUMPRODUCT($A$19:$A$103,$Q$19:$Q$103,I$19:I$103)</f>
        <v>4.4737770733690914</v>
      </c>
      <c r="J16" s="9">
        <f>SUMPRODUCT($A$19:$A$103,J$19:J$103)</f>
        <v>0.28112089114672806</v>
      </c>
      <c r="K16" s="6">
        <f>SUMPRODUCT($A$19:$A$103,K$19:K$103)</f>
        <v>7.0713374680622491E-3</v>
      </c>
      <c r="P16" s="7">
        <f>SUMPRODUCT($A$19:$A$103,P$19:P$103)</f>
        <v>37.303171648360824</v>
      </c>
      <c r="Q16" s="9">
        <f>SUMPRODUCT($A$19:$A$103,Q$19:Q$103)</f>
        <v>0.93649688297642675</v>
      </c>
      <c r="R16" s="9">
        <f>SUMPRODUCT($A$19:$A$103,R$19:R$103)</f>
        <v>6.107121025555422</v>
      </c>
      <c r="S16" s="6"/>
      <c r="T16" s="6"/>
      <c r="U16" s="6"/>
      <c r="V16" s="6">
        <f>LN($H$16/$C$16)</f>
        <v>1.1892578251119139E-2</v>
      </c>
      <c r="W16" s="6">
        <f>LN($Q$16/$D$16)</f>
        <v>-6.5609085478944812E-2</v>
      </c>
      <c r="X16" s="6">
        <f>LN(P16/$B$15)</f>
        <v>-6.3656803466678111E-2</v>
      </c>
      <c r="Y16" s="9">
        <f>SUMPRODUCT($A$19:$A$103,Y$19:Y$103)</f>
        <v>0.73310497634972027</v>
      </c>
      <c r="AB16" s="9"/>
    </row>
    <row r="17" spans="1:30" x14ac:dyDescent="0.25">
      <c r="C17" s="24"/>
      <c r="D17" s="26"/>
      <c r="E17" s="105" t="s">
        <v>115</v>
      </c>
      <c r="F17" s="105"/>
      <c r="G17" s="17"/>
      <c r="H17" s="7">
        <f>SUMPRODUCT($A$19:$A$103,$Q$19:$Q$103,H$19:H$103)</f>
        <v>37.303171648360824</v>
      </c>
      <c r="I17" s="22" t="s">
        <v>53</v>
      </c>
      <c r="J17" s="17" t="s">
        <v>44</v>
      </c>
      <c r="K17" s="17" t="s">
        <v>42</v>
      </c>
      <c r="L17" s="20">
        <f>($B$15*(1-$B$12-0.5*$B$13/$B$9)^$B$6)^(1/$B$7)</f>
        <v>6.1718264601731967</v>
      </c>
      <c r="M17" s="17"/>
      <c r="N17" s="17"/>
      <c r="P17" s="7">
        <f>SUMPRODUCT($A$19:$A$103,P$19:P$103,$AC$19:$AC$103)</f>
        <v>16.390350456337824</v>
      </c>
      <c r="Q17" s="9">
        <f>SUMPRODUCT($A$19:$A$103,Q$19:Q$103,$AC$19:$AC$103)</f>
        <v>0.44210728929445448</v>
      </c>
      <c r="R17" t="s">
        <v>56</v>
      </c>
      <c r="V17" s="6">
        <f>SUMPRODUCT($A$19:$A$103,V$19:V$103)</f>
        <v>1.0689185950758533E-2</v>
      </c>
      <c r="W17" s="6">
        <f t="shared" ref="W17:X17" si="0">SUMPRODUCT($A$19:$A$103,W$19:W$103)</f>
        <v>-7.467794454981283E-2</v>
      </c>
      <c r="X17" s="6">
        <f t="shared" si="0"/>
        <v>-6.3988758599054285E-2</v>
      </c>
      <c r="Y17" s="95" t="s">
        <v>58</v>
      </c>
      <c r="Z17" s="95"/>
      <c r="AA17" s="31"/>
    </row>
    <row r="18" spans="1:30" x14ac:dyDescent="0.25">
      <c r="A18" s="12" t="s">
        <v>193</v>
      </c>
      <c r="B18" s="10" t="s">
        <v>8</v>
      </c>
      <c r="C18" s="27" t="s">
        <v>30</v>
      </c>
      <c r="D18" s="27" t="s">
        <v>32</v>
      </c>
      <c r="E18" s="27" t="s">
        <v>116</v>
      </c>
      <c r="F18" s="27" t="s">
        <v>117</v>
      </c>
      <c r="G18" s="27" t="s">
        <v>69</v>
      </c>
      <c r="H18" s="10" t="s">
        <v>30</v>
      </c>
      <c r="I18" s="10" t="s">
        <v>40</v>
      </c>
      <c r="J18" s="10" t="s">
        <v>43</v>
      </c>
      <c r="K18" s="10" t="s">
        <v>43</v>
      </c>
      <c r="L18" s="10" t="s">
        <v>50</v>
      </c>
      <c r="M18" s="10" t="s">
        <v>51</v>
      </c>
      <c r="N18" s="10" t="s">
        <v>52</v>
      </c>
      <c r="O18" s="10" t="s">
        <v>45</v>
      </c>
      <c r="P18" s="10" t="s">
        <v>31</v>
      </c>
      <c r="Q18" s="10" t="s">
        <v>32</v>
      </c>
      <c r="R18" s="10" t="s">
        <v>57</v>
      </c>
      <c r="S18" s="11" t="s">
        <v>62</v>
      </c>
      <c r="T18" s="10" t="s">
        <v>63</v>
      </c>
      <c r="U18" s="10" t="s">
        <v>64</v>
      </c>
      <c r="V18" s="10" t="s">
        <v>47</v>
      </c>
      <c r="W18" s="10" t="s">
        <v>48</v>
      </c>
      <c r="X18" s="10" t="s">
        <v>49</v>
      </c>
      <c r="Y18" s="10" t="s">
        <v>59</v>
      </c>
      <c r="Z18" s="10"/>
      <c r="AA18" s="10" t="s">
        <v>97</v>
      </c>
      <c r="AB18" s="10" t="s">
        <v>66</v>
      </c>
      <c r="AC18" s="11" t="s">
        <v>119</v>
      </c>
      <c r="AD18" s="10" t="s">
        <v>120</v>
      </c>
    </row>
    <row r="19" spans="1:30" x14ac:dyDescent="0.25">
      <c r="A19" s="39">
        <f>'hours (1)'!$A19*'hours (1)'!$B19/'hours (1)'!$A$105</f>
        <v>8.5148840514222583E-4</v>
      </c>
      <c r="B19" s="9">
        <f>'hours (4)'!$E19</f>
        <v>6.1944250195876105</v>
      </c>
      <c r="C19" s="26">
        <f>$B$5*($B$4*$B$9*(1-$B$16)+$B$11)+$B19</f>
        <v>8</v>
      </c>
      <c r="D19" s="25">
        <f t="shared" ref="D19:D82" si="1">$B$15/$C19</f>
        <v>4.9693727038274744</v>
      </c>
      <c r="E19" s="25">
        <f>(($B$4*$B$9+$B$11)/$C19+($B19/$C19-1+LN($C19/$B19))/$B$5)*$B$8</f>
        <v>2.8966207360624489E-2</v>
      </c>
      <c r="F19" s="25">
        <f t="shared" ref="F19:F82" si="2">(((1-$B$16)*$B$4*$B$9+$B$11)/$C19+($B19/$C19-1+LN($C19/$B19))/$B$5)*$B$8</f>
        <v>2.5736834383045692E-2</v>
      </c>
      <c r="G19" s="30">
        <f t="shared" ref="G19:G82" si="3">((1-$B$16)*$B$8-$F19)*$F$5/($F$14*$B$15^(1/$B$6))</f>
        <v>-4.0465035871993345E-6</v>
      </c>
      <c r="H19" s="9">
        <f>'hours (4)'!$K19</f>
        <v>7.9917673663909099</v>
      </c>
      <c r="I19" s="7">
        <f t="shared" ref="I19:I82" si="4">IF($H19&gt;$B$14,1,0)*$B$13</f>
        <v>0</v>
      </c>
      <c r="J19" s="9">
        <f t="shared" ref="J19:J82" si="5">(1-$B$16-$B$12)*($B$4*$B$9+$I19)/$H19+$B$11/$H19+($B19/$H19-1+LN($H19/$B19))/$B$5</f>
        <v>1.0190489418615487</v>
      </c>
      <c r="K19" s="18">
        <f>J19*$B$8</f>
        <v>2.5633238906508867E-2</v>
      </c>
      <c r="L19" s="19">
        <f t="shared" ref="L19:L82" si="6">$G19*($L$17^(($B$7+$B$6)/$B$6))+($K19*$L$17)-(1-$B$16-$B$12)*$B$8*(($F$4/$B$8)^(1/$B$7))</f>
        <v>7.9843952538078411E-3</v>
      </c>
      <c r="M19" s="19">
        <f t="shared" ref="M19:M83" si="7">$G19*($B$7+$B$6)*($L$17^($B$7/$B$6))/$B$6+$K19</f>
        <v>-3.7232936905978037E-3</v>
      </c>
      <c r="N19" s="19">
        <f t="shared" ref="N19:N83" si="8">$G19*($B$7+$B$6)*$B$7*($L$17^($B$7/$B$6-1))/($B$6^2)</f>
        <v>-1.9026155570993065E-2</v>
      </c>
      <c r="O19" s="19">
        <f t="shared" ref="O19:O82" si="9">$G19*(P19^(1/$B$7+1/$B$6))+($K19*P19^(1/$B$7))-(1-$B$16-$B$12)*$B$8*(($F$4/$B$8)^(1/$B$7))</f>
        <v>-6.659939170550605E-4</v>
      </c>
      <c r="P19" s="21">
        <f t="shared" ref="P19:P82" si="10">($L$17-(M19/N19)*(1-SQRT(1-2*L19*N19/(M19^2))))^$B$7</f>
        <v>47.788709015345887</v>
      </c>
      <c r="Q19" s="9">
        <f>$P19/$H19</f>
        <v>5.9797422553013222</v>
      </c>
      <c r="R19" s="9">
        <f t="shared" ref="R19:R82" si="11">$P19^(($B$7-1)/$B$7)</f>
        <v>6.9129377991810319</v>
      </c>
      <c r="S19" s="6">
        <f>$B$8*($G$4/($B$8*$P19))^(1/$B$7)</f>
        <v>2.2221957885494987E-2</v>
      </c>
      <c r="T19" s="6">
        <f t="shared" ref="T19:T82" si="12">S19-($B$4*$B$9*$B$8/$H19)</f>
        <v>9.2911591591564556E-3</v>
      </c>
      <c r="U19" s="6">
        <f t="shared" ref="U19:U82" si="13">$B$6*T19/(T19-$B$8*$B$11/$H19-($B19/$H19-1+LN($H19/$B19))*$B$8/$B$5)</f>
        <v>-0.68847579134356751</v>
      </c>
      <c r="V19" s="6">
        <f t="shared" ref="V19:V82" si="14">LN(H19/C19)</f>
        <v>-1.0296090666843025E-3</v>
      </c>
      <c r="W19" s="6">
        <f t="shared" ref="W19:W82" si="15">LN(Q19/D19)</f>
        <v>0.18508385030462712</v>
      </c>
      <c r="X19" s="6">
        <f t="shared" ref="X19:X82" si="16">LN(P19/$B$15)</f>
        <v>0.18405424123794292</v>
      </c>
      <c r="Y19">
        <f t="shared" ref="Y19:Y82" si="17">$G$4-($B$4*$B$9+$B$11+($B19-$H19+$H19*LN($H19/$B19))/$B$5)*$B$8*$Q19</f>
        <v>-0.44624928123012753</v>
      </c>
      <c r="AA19" s="43">
        <f>ROUND($H19,0)</f>
        <v>8</v>
      </c>
      <c r="AB19" s="6">
        <f>$Q19*$A19/$Q$16</f>
        <v>5.436944093124404E-3</v>
      </c>
      <c r="AC19" s="6">
        <f>VLOOKUP($C19,'hours (1)'!$A$19:$P$103,16)</f>
        <v>0.65945741368532951</v>
      </c>
      <c r="AD19" s="6">
        <f>$Q19*$A19*AC19/$Q$17</f>
        <v>7.5948689248426272E-3</v>
      </c>
    </row>
    <row r="20" spans="1:30" x14ac:dyDescent="0.25">
      <c r="A20" s="39">
        <f>'hours (1)'!$A20*'hours (1)'!$B20/'hours (1)'!$A$105</f>
        <v>1.156853932609497E-4</v>
      </c>
      <c r="B20" s="9">
        <f>'hours (4)'!$E20</f>
        <v>7.1944250195876105</v>
      </c>
      <c r="C20" s="26">
        <f t="shared" ref="C20:C83" si="18">$B$5*($B$4*$B$9*(1-$B$16)+$B$11)+$B20</f>
        <v>9</v>
      </c>
      <c r="D20" s="25">
        <f t="shared" si="1"/>
        <v>4.4172201811799772</v>
      </c>
      <c r="E20" s="25">
        <f t="shared" ref="E20:E83" si="19">(($B$4*$B$9+$B$11)/$C20+($B20/$C20-1+LN($C20/$B20))/$B$5)*$B$8</f>
        <v>2.5400374665029157E-2</v>
      </c>
      <c r="F20" s="25">
        <f t="shared" si="2"/>
        <v>2.2529820907181339E-2</v>
      </c>
      <c r="G20" s="30">
        <f t="shared" si="3"/>
        <v>-2.1578885754166236E-6</v>
      </c>
      <c r="H20" s="9">
        <f>'hours (4)'!$K20</f>
        <v>8.9917673663909099</v>
      </c>
      <c r="I20" s="7">
        <f t="shared" si="4"/>
        <v>0</v>
      </c>
      <c r="J20" s="9">
        <f t="shared" si="5"/>
        <v>0.89201199352640093</v>
      </c>
      <c r="K20" s="18">
        <f t="shared" ref="K20:K83" si="20">J20*$B$8</f>
        <v>2.2437741307855665E-2</v>
      </c>
      <c r="L20" s="19">
        <f t="shared" si="6"/>
        <v>5.1750005440129865E-3</v>
      </c>
      <c r="M20" s="19">
        <f t="shared" si="7"/>
        <v>6.7827134696160155E-3</v>
      </c>
      <c r="N20" s="19">
        <f t="shared" si="8"/>
        <v>-1.0146123154474005E-2</v>
      </c>
      <c r="O20" s="19">
        <f t="shared" si="9"/>
        <v>1.2570097521064083E-4</v>
      </c>
      <c r="P20" s="21">
        <f t="shared" si="10"/>
        <v>31.687168082331301</v>
      </c>
      <c r="Q20" s="9">
        <f t="shared" ref="Q20:Q83" si="21">$P20/$H20</f>
        <v>3.5240200053184658</v>
      </c>
      <c r="R20" s="9">
        <f t="shared" si="11"/>
        <v>5.629135642559282</v>
      </c>
      <c r="S20" s="6">
        <f t="shared" ref="S20:S83" si="22">$B$8*($G$4/($B$8*$P20))^(1/$B$7)</f>
        <v>2.7289982404581838E-2</v>
      </c>
      <c r="T20" s="6">
        <f t="shared" si="12"/>
        <v>1.579725454901236E-2</v>
      </c>
      <c r="U20" s="6">
        <f t="shared" si="13"/>
        <v>4.1859509110590807</v>
      </c>
      <c r="V20" s="6">
        <f t="shared" si="14"/>
        <v>-9.1515569493684967E-4</v>
      </c>
      <c r="W20" s="6">
        <f t="shared" si="15"/>
        <v>-0.22590819501653811</v>
      </c>
      <c r="X20" s="6">
        <f t="shared" si="16"/>
        <v>-0.22682335071147505</v>
      </c>
      <c r="Y20">
        <f t="shared" si="17"/>
        <v>0.13321934473631636</v>
      </c>
      <c r="AA20" s="43">
        <f t="shared" ref="AA20:AA83" si="23">ROUND($H20,0)</f>
        <v>9</v>
      </c>
      <c r="AB20" s="6">
        <f>$Q20*$A20/$Q$16+AB19</f>
        <v>5.8722660334164173E-3</v>
      </c>
      <c r="AC20" s="6">
        <f>VLOOKUP($C20,'hours (1)'!$A$19:$P$103,16)</f>
        <v>0.61809764833410796</v>
      </c>
      <c r="AD20" s="6">
        <f>$Q20*$A20*AC20/$Q$17+AD19</f>
        <v>8.1648314583093982E-3</v>
      </c>
    </row>
    <row r="21" spans="1:30" x14ac:dyDescent="0.25">
      <c r="A21" s="39">
        <f>'hours (1)'!$A21*'hours (1)'!$B21/'hours (1)'!$A$105</f>
        <v>2.1505951276750003E-3</v>
      </c>
      <c r="B21" s="9">
        <f>'hours (4)'!$E21</f>
        <v>8.1944250195876105</v>
      </c>
      <c r="C21" s="26">
        <f t="shared" si="18"/>
        <v>10</v>
      </c>
      <c r="D21" s="25">
        <f t="shared" si="1"/>
        <v>3.9754981630619795</v>
      </c>
      <c r="E21" s="25">
        <f t="shared" si="19"/>
        <v>2.2619331622219848E-2</v>
      </c>
      <c r="F21" s="25">
        <f t="shared" si="2"/>
        <v>2.0035833240156814E-2</v>
      </c>
      <c r="G21" s="30">
        <f t="shared" si="3"/>
        <v>-6.8917552428921236E-7</v>
      </c>
      <c r="H21" s="9">
        <f>'hours (4)'!$K21</f>
        <v>9.9917673663909099</v>
      </c>
      <c r="I21" s="7">
        <f t="shared" si="4"/>
        <v>0</v>
      </c>
      <c r="J21" s="9">
        <f t="shared" si="5"/>
        <v>0.793229772703408</v>
      </c>
      <c r="K21" s="18">
        <f t="shared" si="20"/>
        <v>1.9952965393711872E-2</v>
      </c>
      <c r="L21" s="19">
        <f t="shared" si="6"/>
        <v>2.9918092193362139E-3</v>
      </c>
      <c r="M21" s="19">
        <f t="shared" si="7"/>
        <v>1.4953141889804594E-2</v>
      </c>
      <c r="N21" s="19">
        <f t="shared" si="8"/>
        <v>-3.2404174266215321E-3</v>
      </c>
      <c r="O21" s="19">
        <f t="shared" si="9"/>
        <v>1.9430722390523236E-6</v>
      </c>
      <c r="P21" s="21">
        <f t="shared" si="10"/>
        <v>35.711459154175024</v>
      </c>
      <c r="Q21" s="9">
        <f t="shared" si="21"/>
        <v>3.5740883313893876</v>
      </c>
      <c r="R21" s="9">
        <f t="shared" si="11"/>
        <v>5.975906555006949</v>
      </c>
      <c r="S21" s="6">
        <f t="shared" si="22"/>
        <v>2.5706394707550553E-2</v>
      </c>
      <c r="T21" s="6">
        <f t="shared" si="12"/>
        <v>1.5363886571289925E-2</v>
      </c>
      <c r="U21" s="6">
        <f t="shared" si="13"/>
        <v>2.490175545847634</v>
      </c>
      <c r="V21" s="6">
        <f t="shared" si="14"/>
        <v>-8.2360242829697308E-4</v>
      </c>
      <c r="W21" s="6">
        <f t="shared" si="15"/>
        <v>-0.10643993286858465</v>
      </c>
      <c r="X21" s="6">
        <f t="shared" si="16"/>
        <v>-0.10726353529688169</v>
      </c>
      <c r="Y21">
        <f t="shared" si="17"/>
        <v>0.13032332842762995</v>
      </c>
      <c r="AA21" s="43">
        <f t="shared" si="23"/>
        <v>10</v>
      </c>
      <c r="AB21" s="6">
        <f t="shared" ref="AB21:AB84" si="24">$Q21*$A21/$Q$16+AB20</f>
        <v>1.4079892872425948E-2</v>
      </c>
      <c r="AC21" s="6">
        <f>VLOOKUP($C21,'hours (1)'!$A$19:$P$103,16)</f>
        <v>0.66850566449331195</v>
      </c>
      <c r="AD21" s="6">
        <f t="shared" ref="AD21:AD84" si="25">$Q21*$A21*AC21/$Q$17+AD20</f>
        <v>1.9787379640778591E-2</v>
      </c>
    </row>
    <row r="22" spans="1:30" x14ac:dyDescent="0.25">
      <c r="A22" s="39">
        <f>'hours (1)'!$A22*'hours (1)'!$B22/'hours (1)'!$A$105</f>
        <v>6.5173811346110435E-5</v>
      </c>
      <c r="B22" s="9">
        <f>'hours (4)'!$E22</f>
        <v>9.1944250195876105</v>
      </c>
      <c r="C22" s="26">
        <f t="shared" si="18"/>
        <v>11</v>
      </c>
      <c r="D22" s="25">
        <f t="shared" si="1"/>
        <v>3.6140892391472543</v>
      </c>
      <c r="E22" s="25">
        <f t="shared" si="19"/>
        <v>2.0388934870164285E-2</v>
      </c>
      <c r="F22" s="25">
        <f t="shared" si="2"/>
        <v>1.8040299977379708E-2</v>
      </c>
      <c r="G22" s="30">
        <f t="shared" si="3"/>
        <v>4.8599698588454407E-7</v>
      </c>
      <c r="H22" s="9">
        <f>'hours (4)'!$K22</f>
        <v>10.99176736639091</v>
      </c>
      <c r="I22" s="7">
        <f t="shared" si="4"/>
        <v>0</v>
      </c>
      <c r="J22" s="9">
        <f t="shared" si="5"/>
        <v>0.71419698843487534</v>
      </c>
      <c r="K22" s="18">
        <f t="shared" si="20"/>
        <v>1.7964968392408756E-2</v>
      </c>
      <c r="L22" s="19">
        <f t="shared" si="6"/>
        <v>1.2459777943973904E-3</v>
      </c>
      <c r="M22" s="19">
        <f t="shared" si="7"/>
        <v>2.1490774326041899E-2</v>
      </c>
      <c r="N22" s="19">
        <f t="shared" si="8"/>
        <v>2.2850972601936703E-3</v>
      </c>
      <c r="O22" s="19">
        <f t="shared" si="9"/>
        <v>-3.6242921025442243E-8</v>
      </c>
      <c r="P22" s="21">
        <f t="shared" si="10"/>
        <v>37.376952435249493</v>
      </c>
      <c r="Q22" s="9">
        <f t="shared" si="21"/>
        <v>3.4004497356390124</v>
      </c>
      <c r="R22" s="9">
        <f t="shared" si="11"/>
        <v>6.1136693102628223</v>
      </c>
      <c r="S22" s="6">
        <f t="shared" si="22"/>
        <v>2.5127138031586355E-2</v>
      </c>
      <c r="T22" s="6">
        <f t="shared" si="12"/>
        <v>1.5725562121373788E-2</v>
      </c>
      <c r="U22" s="6">
        <f t="shared" si="13"/>
        <v>1.6600698244950356</v>
      </c>
      <c r="V22" s="6">
        <f t="shared" si="14"/>
        <v>-7.4870144418142607E-4</v>
      </c>
      <c r="W22" s="6">
        <f t="shared" si="15"/>
        <v>-6.0932186427849165E-2</v>
      </c>
      <c r="X22" s="6">
        <f t="shared" si="16"/>
        <v>-6.1680887872030597E-2</v>
      </c>
      <c r="Y22">
        <f t="shared" si="17"/>
        <v>0.17602684962471482</v>
      </c>
      <c r="AA22" s="43">
        <f t="shared" si="23"/>
        <v>11</v>
      </c>
      <c r="AB22" s="6">
        <f t="shared" si="24"/>
        <v>1.4316541038149791E-2</v>
      </c>
      <c r="AC22" s="6">
        <f>VLOOKUP($C22,'hours (1)'!$A$19:$P$103,16)</f>
        <v>0.7387130633743596</v>
      </c>
      <c r="AD22" s="6">
        <f t="shared" si="25"/>
        <v>2.0157682940901978E-2</v>
      </c>
    </row>
    <row r="23" spans="1:30" x14ac:dyDescent="0.25">
      <c r="A23" s="39">
        <f>'hours (1)'!$A23*'hours (1)'!$B23/'hours (1)'!$A$105</f>
        <v>1.6665159140751592E-3</v>
      </c>
      <c r="B23" s="9">
        <f>'hours (4)'!$E23</f>
        <v>10.19442501958761</v>
      </c>
      <c r="C23" s="26">
        <f t="shared" si="18"/>
        <v>12</v>
      </c>
      <c r="D23" s="25">
        <f t="shared" si="1"/>
        <v>3.3129151358849831</v>
      </c>
      <c r="E23" s="25">
        <f t="shared" si="19"/>
        <v>1.8559980691175048E-2</v>
      </c>
      <c r="F23" s="25">
        <f t="shared" si="2"/>
        <v>1.6407065372789183E-2</v>
      </c>
      <c r="G23" s="30">
        <f t="shared" si="3"/>
        <v>1.4478112767213845E-6</v>
      </c>
      <c r="H23" s="9">
        <f>'hours (4)'!$K23</f>
        <v>11.99176736639091</v>
      </c>
      <c r="I23" s="7">
        <f t="shared" si="4"/>
        <v>0</v>
      </c>
      <c r="J23" s="9">
        <f t="shared" si="5"/>
        <v>0.64951742953693192</v>
      </c>
      <c r="K23" s="18">
        <f t="shared" si="20"/>
        <v>1.6338013574546978E-2</v>
      </c>
      <c r="L23" s="19">
        <f t="shared" si="6"/>
        <v>-1.8219971800065293E-4</v>
      </c>
      <c r="M23" s="19">
        <f t="shared" si="7"/>
        <v>2.6841579930939836E-2</v>
      </c>
      <c r="N23" s="19">
        <f t="shared" si="8"/>
        <v>6.807428189481597E-3</v>
      </c>
      <c r="O23" s="19">
        <f t="shared" si="9"/>
        <v>1.7213799829995935E-10</v>
      </c>
      <c r="P23" s="21">
        <f t="shared" si="10"/>
        <v>38.175204143600872</v>
      </c>
      <c r="Q23" s="9">
        <f t="shared" si="21"/>
        <v>3.1834510274602028</v>
      </c>
      <c r="R23" s="9">
        <f t="shared" si="11"/>
        <v>6.178608592846845</v>
      </c>
      <c r="S23" s="6">
        <f t="shared" si="22"/>
        <v>2.4863043245091861E-2</v>
      </c>
      <c r="T23" s="6">
        <f t="shared" si="12"/>
        <v>1.624546986119265E-2</v>
      </c>
      <c r="U23" s="6">
        <f t="shared" si="13"/>
        <v>1.2890036539582563</v>
      </c>
      <c r="V23" s="6">
        <f t="shared" si="14"/>
        <v>-6.8628824267010305E-4</v>
      </c>
      <c r="W23" s="6">
        <f t="shared" si="15"/>
        <v>-3.9862670382579089E-2</v>
      </c>
      <c r="X23" s="6">
        <f t="shared" si="16"/>
        <v>-4.0548958625249161E-2</v>
      </c>
      <c r="Y23">
        <f t="shared" si="17"/>
        <v>0.2295815214598057</v>
      </c>
      <c r="AA23" s="43">
        <f t="shared" si="23"/>
        <v>12</v>
      </c>
      <c r="AB23" s="6">
        <f t="shared" si="24"/>
        <v>1.9981559144862365E-2</v>
      </c>
      <c r="AC23" s="6">
        <f>VLOOKUP($C23,'hours (1)'!$A$19:$P$103,16)</f>
        <v>0.71832894688550686</v>
      </c>
      <c r="AD23" s="6">
        <f t="shared" si="25"/>
        <v>2.8777604838947726E-2</v>
      </c>
    </row>
    <row r="24" spans="1:30" x14ac:dyDescent="0.25">
      <c r="A24" s="39">
        <f>'hours (1)'!$A24*'hours (1)'!$B24/'hours (1)'!$A$105</f>
        <v>2.5796297549743205E-4</v>
      </c>
      <c r="B24" s="9">
        <f>'hours (4)'!$E24</f>
        <v>11.19442501958761</v>
      </c>
      <c r="C24" s="26">
        <f t="shared" si="18"/>
        <v>13</v>
      </c>
      <c r="D24" s="25">
        <f t="shared" si="1"/>
        <v>3.0580755100476766</v>
      </c>
      <c r="E24" s="25">
        <f t="shared" si="19"/>
        <v>1.7032814010520266E-2</v>
      </c>
      <c r="F24" s="25">
        <f t="shared" si="2"/>
        <v>1.5045507562779472E-2</v>
      </c>
      <c r="G24" s="30">
        <f t="shared" si="3"/>
        <v>2.2496346986517443E-6</v>
      </c>
      <c r="H24" s="9">
        <f>'hours (4)'!$K24</f>
        <v>12.99176736639091</v>
      </c>
      <c r="I24" s="7">
        <f t="shared" si="4"/>
        <v>0</v>
      </c>
      <c r="J24" s="9">
        <f t="shared" si="5"/>
        <v>0.59559995632342067</v>
      </c>
      <c r="K24" s="18">
        <f t="shared" si="20"/>
        <v>1.4981769124116057E-2</v>
      </c>
      <c r="L24" s="19">
        <f t="shared" si="6"/>
        <v>-1.372327751742522E-3</v>
      </c>
      <c r="M24" s="19">
        <f t="shared" si="7"/>
        <v>3.1302395793388525E-2</v>
      </c>
      <c r="N24" s="19">
        <f t="shared" si="8"/>
        <v>1.0577501992053401E-2</v>
      </c>
      <c r="O24" s="19">
        <f t="shared" si="9"/>
        <v>7.0886843880901829E-8</v>
      </c>
      <c r="P24" s="21">
        <f t="shared" si="10"/>
        <v>38.630543612539476</v>
      </c>
      <c r="Q24" s="9">
        <f t="shared" si="21"/>
        <v>2.9734633112716344</v>
      </c>
      <c r="R24" s="9">
        <f t="shared" si="11"/>
        <v>6.2153474249264198</v>
      </c>
      <c r="S24" s="6">
        <f t="shared" si="22"/>
        <v>2.471607814268981E-2</v>
      </c>
      <c r="T24" s="6">
        <f t="shared" si="12"/>
        <v>1.6761815079924622E-2</v>
      </c>
      <c r="U24" s="6">
        <f t="shared" si="13"/>
        <v>1.0909820772841863</v>
      </c>
      <c r="V24" s="6">
        <f t="shared" si="14"/>
        <v>-6.3348011455706562E-4</v>
      </c>
      <c r="W24" s="6">
        <f t="shared" si="15"/>
        <v>-2.8058428305556819E-2</v>
      </c>
      <c r="X24" s="6">
        <f t="shared" si="16"/>
        <v>-2.8691908420113894E-2</v>
      </c>
      <c r="Y24">
        <f t="shared" si="17"/>
        <v>0.28013360933655618</v>
      </c>
      <c r="AA24" s="43">
        <f t="shared" si="23"/>
        <v>13</v>
      </c>
      <c r="AB24" s="6">
        <f t="shared" si="24"/>
        <v>2.0800615200735416E-2</v>
      </c>
      <c r="AC24" s="6">
        <f>VLOOKUP($C24,'hours (1)'!$A$19:$P$103,16)</f>
        <v>0.6322132591886811</v>
      </c>
      <c r="AD24" s="6">
        <f t="shared" si="25"/>
        <v>2.9874476677471361E-2</v>
      </c>
    </row>
    <row r="25" spans="1:30" x14ac:dyDescent="0.25">
      <c r="A25" s="39">
        <f>'hours (1)'!$A25*'hours (1)'!$B25/'hours (1)'!$A$105</f>
        <v>3.4482549024802218E-4</v>
      </c>
      <c r="B25" s="9">
        <f>'hours (4)'!$E25</f>
        <v>12.19442501958761</v>
      </c>
      <c r="C25" s="26">
        <f t="shared" si="18"/>
        <v>14</v>
      </c>
      <c r="D25" s="25">
        <f t="shared" si="1"/>
        <v>2.8396415450442709</v>
      </c>
      <c r="E25" s="25">
        <f t="shared" si="19"/>
        <v>1.5738301450694017E-2</v>
      </c>
      <c r="F25" s="25">
        <f t="shared" si="2"/>
        <v>1.3892945463506137E-2</v>
      </c>
      <c r="G25" s="30">
        <f t="shared" si="3"/>
        <v>2.9283802352955342E-6</v>
      </c>
      <c r="H25" s="9">
        <f>'hours (4)'!$K25</f>
        <v>13.99176736639091</v>
      </c>
      <c r="I25" s="7">
        <f t="shared" si="4"/>
        <v>0</v>
      </c>
      <c r="J25" s="9">
        <f t="shared" si="5"/>
        <v>0.5499609188000244</v>
      </c>
      <c r="K25" s="18">
        <f t="shared" si="20"/>
        <v>1.3833761109738194E-2</v>
      </c>
      <c r="L25" s="19">
        <f t="shared" si="6"/>
        <v>-2.3794265635047607E-3</v>
      </c>
      <c r="M25" s="19">
        <f t="shared" si="7"/>
        <v>3.5078543915843599E-2</v>
      </c>
      <c r="N25" s="19">
        <f t="shared" si="8"/>
        <v>1.3768878916604678E-2</v>
      </c>
      <c r="O25" s="19">
        <f t="shared" si="9"/>
        <v>3.3658389129997968E-7</v>
      </c>
      <c r="P25" s="21">
        <f t="shared" si="10"/>
        <v>38.922352483878107</v>
      </c>
      <c r="Q25" s="9">
        <f t="shared" si="21"/>
        <v>2.781803861131368</v>
      </c>
      <c r="R25" s="9">
        <f t="shared" si="11"/>
        <v>6.2387781242706577</v>
      </c>
      <c r="S25" s="6">
        <f t="shared" si="22"/>
        <v>2.462325307592279E-2</v>
      </c>
      <c r="T25" s="6">
        <f t="shared" si="12"/>
        <v>1.723748596184467E-2</v>
      </c>
      <c r="U25" s="6">
        <f t="shared" si="13"/>
        <v>0.97015871610409454</v>
      </c>
      <c r="V25" s="6">
        <f t="shared" si="14"/>
        <v>-5.8821822421608922E-4</v>
      </c>
      <c r="W25" s="6">
        <f t="shared" si="15"/>
        <v>-2.0578239486028681E-2</v>
      </c>
      <c r="X25" s="6">
        <f t="shared" si="16"/>
        <v>-2.1166457710244824E-2</v>
      </c>
      <c r="Y25">
        <f t="shared" si="17"/>
        <v>0.3255552462540201</v>
      </c>
      <c r="AA25" s="43">
        <f t="shared" si="23"/>
        <v>14</v>
      </c>
      <c r="AB25" s="6">
        <f t="shared" si="24"/>
        <v>2.1824897179272027E-2</v>
      </c>
      <c r="AC25" s="6">
        <f>VLOOKUP($C25,'hours (1)'!$A$19:$P$103,16)</f>
        <v>0.76536742273804459</v>
      </c>
      <c r="AD25" s="6">
        <f t="shared" si="25"/>
        <v>3.1535088652353667E-2</v>
      </c>
    </row>
    <row r="26" spans="1:30" x14ac:dyDescent="0.25">
      <c r="A26" s="39">
        <f>'hours (1)'!$A26*'hours (1)'!$B26/'hours (1)'!$A$105</f>
        <v>4.418785229213182E-3</v>
      </c>
      <c r="B26" s="9">
        <f>'hours (4)'!$E26</f>
        <v>13.19442501958761</v>
      </c>
      <c r="C26" s="26">
        <f t="shared" si="18"/>
        <v>15</v>
      </c>
      <c r="D26" s="25">
        <f t="shared" si="1"/>
        <v>2.6503321087079863</v>
      </c>
      <c r="E26" s="25">
        <f t="shared" si="19"/>
        <v>1.4626959797099919E-2</v>
      </c>
      <c r="F26" s="25">
        <f t="shared" si="2"/>
        <v>1.2904627542391229E-2</v>
      </c>
      <c r="G26" s="30">
        <f t="shared" si="3"/>
        <v>3.5104021308313554E-6</v>
      </c>
      <c r="H26" s="9">
        <f>'hours (4)'!$K26</f>
        <v>14.99176736639091</v>
      </c>
      <c r="I26" s="7">
        <f t="shared" si="4"/>
        <v>0</v>
      </c>
      <c r="J26" s="9">
        <f t="shared" si="5"/>
        <v>0.51082725925919337</v>
      </c>
      <c r="K26" s="18">
        <f t="shared" si="20"/>
        <v>1.2849389895472815E-2</v>
      </c>
      <c r="L26" s="19">
        <f t="shared" si="6"/>
        <v>-3.2427535122211415E-3</v>
      </c>
      <c r="M26" s="19">
        <f t="shared" si="7"/>
        <v>3.8316619161919259E-2</v>
      </c>
      <c r="N26" s="19">
        <f t="shared" si="8"/>
        <v>1.6505473334862217E-2</v>
      </c>
      <c r="O26" s="19">
        <f t="shared" si="9"/>
        <v>7.7368316682424609E-7</v>
      </c>
      <c r="P26" s="21">
        <f t="shared" si="10"/>
        <v>39.124625822934895</v>
      </c>
      <c r="Q26" s="9">
        <f t="shared" si="21"/>
        <v>2.6097407241420987</v>
      </c>
      <c r="R26" s="9">
        <f t="shared" si="11"/>
        <v>6.2549680912803138</v>
      </c>
      <c r="S26" s="6">
        <f t="shared" si="22"/>
        <v>2.4559519792370896E-2</v>
      </c>
      <c r="T26" s="6">
        <f t="shared" si="12"/>
        <v>1.7666407542364093E-2</v>
      </c>
      <c r="U26" s="6">
        <f t="shared" si="13"/>
        <v>0.88940398736082127</v>
      </c>
      <c r="V26" s="6">
        <f t="shared" si="14"/>
        <v>-5.4899290964010802E-4</v>
      </c>
      <c r="W26" s="6">
        <f t="shared" si="15"/>
        <v>-1.5434079195520322E-2</v>
      </c>
      <c r="X26" s="6">
        <f t="shared" si="16"/>
        <v>-1.5983072105160465E-2</v>
      </c>
      <c r="Y26">
        <f t="shared" si="17"/>
        <v>0.36585797530746722</v>
      </c>
      <c r="AA26" s="43">
        <f t="shared" si="23"/>
        <v>15</v>
      </c>
      <c r="AB26" s="6">
        <f t="shared" si="24"/>
        <v>3.4138748910698985E-2</v>
      </c>
      <c r="AC26" s="6">
        <f>VLOOKUP($C26,'hours (1)'!$A$19:$P$103,16)</f>
        <v>0.61425585732695664</v>
      </c>
      <c r="AD26" s="6">
        <f t="shared" si="25"/>
        <v>4.7557279010949513E-2</v>
      </c>
    </row>
    <row r="27" spans="1:30" x14ac:dyDescent="0.25">
      <c r="A27" s="39">
        <f>'hours (1)'!$A27*'hours (1)'!$B27/'hours (1)'!$A$105</f>
        <v>2.1206169827711033E-3</v>
      </c>
      <c r="B27" s="9">
        <f>'hours (4)'!$E27</f>
        <v>14.19442501958761</v>
      </c>
      <c r="C27" s="26">
        <f t="shared" si="18"/>
        <v>16</v>
      </c>
      <c r="D27" s="25">
        <f t="shared" si="1"/>
        <v>2.4846863519137372</v>
      </c>
      <c r="E27" s="25">
        <f t="shared" si="19"/>
        <v>1.3662428337973195E-2</v>
      </c>
      <c r="F27" s="25">
        <f t="shared" si="2"/>
        <v>1.20477418491838E-2</v>
      </c>
      <c r="G27" s="30">
        <f t="shared" si="3"/>
        <v>4.0150233916251581E-6</v>
      </c>
      <c r="H27" s="9">
        <f>'hours (4)'!$K27</f>
        <v>15.99176736639091</v>
      </c>
      <c r="I27" s="7">
        <f t="shared" si="4"/>
        <v>0</v>
      </c>
      <c r="J27" s="9">
        <f t="shared" si="5"/>
        <v>0.47689906781877439</v>
      </c>
      <c r="K27" s="18">
        <f t="shared" si="20"/>
        <v>1.1995957443770031E-2</v>
      </c>
      <c r="L27" s="19">
        <f t="shared" si="6"/>
        <v>-3.9910765178226698E-3</v>
      </c>
      <c r="M27" s="19">
        <f t="shared" si="7"/>
        <v>4.1124107841869137E-2</v>
      </c>
      <c r="N27" s="19">
        <f t="shared" si="8"/>
        <v>1.8878139614626619E-2</v>
      </c>
      <c r="O27" s="19">
        <f t="shared" si="9"/>
        <v>1.3204968502961156E-6</v>
      </c>
      <c r="P27" s="21">
        <f t="shared" si="10"/>
        <v>39.272850655746531</v>
      </c>
      <c r="Q27" s="9">
        <f t="shared" si="21"/>
        <v>2.4558167809697067</v>
      </c>
      <c r="R27" s="9">
        <f t="shared" si="11"/>
        <v>6.2668054585846633</v>
      </c>
      <c r="S27" s="6">
        <f t="shared" si="22"/>
        <v>2.4513129321416915E-2</v>
      </c>
      <c r="T27" s="6">
        <f t="shared" si="12"/>
        <v>1.8051058374855641E-2</v>
      </c>
      <c r="U27" s="6">
        <f t="shared" si="13"/>
        <v>0.83185701714389504</v>
      </c>
      <c r="V27" s="6">
        <f t="shared" si="14"/>
        <v>-5.1467202149422955E-4</v>
      </c>
      <c r="W27" s="6">
        <f t="shared" si="15"/>
        <v>-1.1687028129140459E-2</v>
      </c>
      <c r="X27" s="6">
        <f t="shared" si="16"/>
        <v>-1.2201700150634631E-2</v>
      </c>
      <c r="Y27">
        <f t="shared" si="17"/>
        <v>0.40157422538505594</v>
      </c>
      <c r="AA27" s="43">
        <f t="shared" si="23"/>
        <v>16</v>
      </c>
      <c r="AB27" s="6">
        <f t="shared" si="24"/>
        <v>3.9699735676342829E-2</v>
      </c>
      <c r="AC27" s="6">
        <f>VLOOKUP($C27,'hours (1)'!$A$19:$P$103,16)</f>
        <v>0.67759767184437258</v>
      </c>
      <c r="AD27" s="6">
        <f t="shared" si="25"/>
        <v>5.5539108158945062E-2</v>
      </c>
    </row>
    <row r="28" spans="1:30" x14ac:dyDescent="0.25">
      <c r="A28" s="39">
        <f>'hours (1)'!$A28*'hours (1)'!$B28/'hours (1)'!$A$105</f>
        <v>3.8077406738622752E-4</v>
      </c>
      <c r="B28" s="9">
        <f>'hours (4)'!$E28</f>
        <v>15.19442501958761</v>
      </c>
      <c r="C28" s="26">
        <f t="shared" si="18"/>
        <v>17</v>
      </c>
      <c r="D28" s="25">
        <f t="shared" si="1"/>
        <v>2.3385283312129292</v>
      </c>
      <c r="E28" s="25">
        <f t="shared" si="19"/>
        <v>1.2817384255728511E-2</v>
      </c>
      <c r="F28" s="25">
        <f t="shared" si="2"/>
        <v>1.1297679325103196E-2</v>
      </c>
      <c r="G28" s="30">
        <f t="shared" si="3"/>
        <v>4.4567363290403848E-6</v>
      </c>
      <c r="H28" s="9">
        <f>'hours (4)'!$K28</f>
        <v>16.99176736639091</v>
      </c>
      <c r="I28" s="7">
        <f t="shared" si="4"/>
        <v>0</v>
      </c>
      <c r="J28" s="9">
        <f t="shared" si="5"/>
        <v>0.44720147458582987</v>
      </c>
      <c r="K28" s="18">
        <f t="shared" si="20"/>
        <v>1.1248941799067253E-2</v>
      </c>
      <c r="L28" s="19">
        <f t="shared" si="6"/>
        <v>-4.6459613076865469E-3</v>
      </c>
      <c r="M28" s="19">
        <f t="shared" si="7"/>
        <v>4.3581626671524418E-2</v>
      </c>
      <c r="N28" s="19">
        <f t="shared" si="8"/>
        <v>2.0955018797822664E-2</v>
      </c>
      <c r="O28" s="19">
        <f t="shared" si="9"/>
        <v>1.9259314773256708E-6</v>
      </c>
      <c r="P28" s="21">
        <f t="shared" si="10"/>
        <v>39.386038186015185</v>
      </c>
      <c r="Q28" s="9">
        <f t="shared" si="21"/>
        <v>2.3179482944145833</v>
      </c>
      <c r="R28" s="9">
        <f t="shared" si="11"/>
        <v>6.2758296810872096</v>
      </c>
      <c r="S28" s="6">
        <f t="shared" si="22"/>
        <v>2.4477881084216217E-2</v>
      </c>
      <c r="T28" s="6">
        <f t="shared" si="12"/>
        <v>1.8396116129799293E-2</v>
      </c>
      <c r="U28" s="6">
        <f t="shared" si="13"/>
        <v>0.78887275275200808</v>
      </c>
      <c r="V28" s="6">
        <f t="shared" si="14"/>
        <v>-4.8438986307030484E-4</v>
      </c>
      <c r="W28" s="6">
        <f t="shared" si="15"/>
        <v>-8.8393746833774697E-3</v>
      </c>
      <c r="X28" s="6">
        <f t="shared" si="16"/>
        <v>-9.3237645464477204E-3</v>
      </c>
      <c r="Y28">
        <f t="shared" si="17"/>
        <v>0.43331445102704558</v>
      </c>
      <c r="AA28" s="43">
        <f t="shared" si="23"/>
        <v>17</v>
      </c>
      <c r="AB28" s="6">
        <f t="shared" si="24"/>
        <v>4.0642199678198376E-2</v>
      </c>
      <c r="AC28" s="6">
        <f>VLOOKUP($C28,'hours (1)'!$A$19:$P$103,16)</f>
        <v>0.70159704938896383</v>
      </c>
      <c r="AD28" s="6">
        <f t="shared" si="25"/>
        <v>5.6939763190294083E-2</v>
      </c>
    </row>
    <row r="29" spans="1:30" x14ac:dyDescent="0.25">
      <c r="A29" s="39">
        <f>'hours (1)'!$A29*'hours (1)'!$B29/'hours (1)'!$A$105</f>
        <v>1.1795378188566624E-3</v>
      </c>
      <c r="B29" s="9">
        <f>'hours (4)'!$E29</f>
        <v>16.194425019587609</v>
      </c>
      <c r="C29" s="26">
        <f t="shared" si="18"/>
        <v>18</v>
      </c>
      <c r="D29" s="25">
        <f t="shared" si="1"/>
        <v>2.2086100905899886</v>
      </c>
      <c r="E29" s="25">
        <f t="shared" si="19"/>
        <v>1.207089587744121E-2</v>
      </c>
      <c r="F29" s="25">
        <f t="shared" si="2"/>
        <v>1.0635618998517301E-2</v>
      </c>
      <c r="G29" s="30">
        <f t="shared" si="3"/>
        <v>4.8466246412991545E-6</v>
      </c>
      <c r="H29" s="9">
        <f>'hours (4)'!$K29</f>
        <v>17.99176736639091</v>
      </c>
      <c r="I29" s="7">
        <f t="shared" si="4"/>
        <v>0</v>
      </c>
      <c r="J29" s="9">
        <f t="shared" si="5"/>
        <v>0.4209889452814109</v>
      </c>
      <c r="K29" s="18">
        <f t="shared" si="20"/>
        <v>1.0589589732250305E-2</v>
      </c>
      <c r="L29" s="19">
        <f t="shared" si="6"/>
        <v>-5.2238943679732835E-3</v>
      </c>
      <c r="M29" s="19">
        <f t="shared" si="7"/>
        <v>4.5750832321612235E-2</v>
      </c>
      <c r="N29" s="19">
        <f t="shared" si="8"/>
        <v>2.2788225052183479E-2</v>
      </c>
      <c r="O29" s="19">
        <f t="shared" si="9"/>
        <v>2.5550324778550459E-6</v>
      </c>
      <c r="P29" s="21">
        <f t="shared" si="10"/>
        <v>39.475252603298067</v>
      </c>
      <c r="Q29" s="9">
        <f t="shared" si="21"/>
        <v>2.1940730890639943</v>
      </c>
      <c r="R29" s="9">
        <f t="shared" si="11"/>
        <v>6.2829334393496534</v>
      </c>
      <c r="S29" s="6">
        <f t="shared" si="22"/>
        <v>2.445020532548382E-2</v>
      </c>
      <c r="T29" s="6">
        <f t="shared" si="12"/>
        <v>1.8706470806352415E-2</v>
      </c>
      <c r="U29" s="6">
        <f t="shared" si="13"/>
        <v>0.75559461829424512</v>
      </c>
      <c r="V29" s="6">
        <f t="shared" si="14"/>
        <v>-4.5747315872888671E-4</v>
      </c>
      <c r="W29" s="6">
        <f t="shared" si="15"/>
        <v>-6.6037249384794444E-3</v>
      </c>
      <c r="X29" s="6">
        <f t="shared" si="16"/>
        <v>-7.0611980972084317E-3</v>
      </c>
      <c r="Y29">
        <f t="shared" si="17"/>
        <v>0.46164189701155145</v>
      </c>
      <c r="AA29" s="43">
        <f t="shared" si="23"/>
        <v>18</v>
      </c>
      <c r="AB29" s="6">
        <f t="shared" si="24"/>
        <v>4.3405681578598664E-2</v>
      </c>
      <c r="AC29" s="6">
        <f>VLOOKUP($C29,'hours (1)'!$A$19:$P$103,16)</f>
        <v>0.60885409318940575</v>
      </c>
      <c r="AD29" s="6">
        <f t="shared" si="25"/>
        <v>6.050385198429227E-2</v>
      </c>
    </row>
    <row r="30" spans="1:30" x14ac:dyDescent="0.25">
      <c r="A30" s="39">
        <f>'hours (1)'!$A30*'hours (1)'!$B30/'hours (1)'!$A$105</f>
        <v>1.5061221130474982E-4</v>
      </c>
      <c r="B30" s="9">
        <f>'hours (4)'!$E30</f>
        <v>17.194425019587609</v>
      </c>
      <c r="C30" s="26">
        <f t="shared" si="18"/>
        <v>19</v>
      </c>
      <c r="D30" s="25">
        <f t="shared" si="1"/>
        <v>2.092367454243147</v>
      </c>
      <c r="E30" s="25">
        <f t="shared" si="19"/>
        <v>1.1406655451714128E-2</v>
      </c>
      <c r="F30" s="25">
        <f t="shared" si="2"/>
        <v>1.0046919461154635E-2</v>
      </c>
      <c r="G30" s="30">
        <f t="shared" si="3"/>
        <v>5.1933106755363537E-6</v>
      </c>
      <c r="H30" s="9">
        <f>'hours (4)'!$K30</f>
        <v>18.99176736639091</v>
      </c>
      <c r="I30" s="7">
        <f t="shared" si="4"/>
        <v>0</v>
      </c>
      <c r="J30" s="9">
        <f t="shared" si="5"/>
        <v>0.39768153699932718</v>
      </c>
      <c r="K30" s="18">
        <f t="shared" si="20"/>
        <v>1.0003313312891277E-2</v>
      </c>
      <c r="L30" s="19">
        <f t="shared" si="6"/>
        <v>-5.7376962323962832E-3</v>
      </c>
      <c r="M30" s="19">
        <f t="shared" si="7"/>
        <v>4.767969017699878E-2</v>
      </c>
      <c r="N30" s="19">
        <f t="shared" si="8"/>
        <v>2.441829957937619E-2</v>
      </c>
      <c r="O30" s="19">
        <f t="shared" si="9"/>
        <v>3.1855278661008235E-6</v>
      </c>
      <c r="P30" s="21">
        <f t="shared" si="10"/>
        <v>39.547357451623782</v>
      </c>
      <c r="Q30" s="9">
        <f t="shared" si="21"/>
        <v>2.08234213744685</v>
      </c>
      <c r="R30" s="9">
        <f t="shared" si="11"/>
        <v>6.2886689729722445</v>
      </c>
      <c r="S30" s="6">
        <f t="shared" si="22"/>
        <v>2.4427905698118115E-2</v>
      </c>
      <c r="T30" s="6">
        <f t="shared" si="12"/>
        <v>1.8986604038884514E-2</v>
      </c>
      <c r="U30" s="6">
        <f t="shared" si="13"/>
        <v>0.7290957839626534</v>
      </c>
      <c r="V30" s="6">
        <f t="shared" si="14"/>
        <v>-4.3339040579783275E-4</v>
      </c>
      <c r="W30" s="6">
        <f t="shared" si="15"/>
        <v>-4.8028902839333393E-3</v>
      </c>
      <c r="X30" s="6">
        <f t="shared" si="16"/>
        <v>-5.2362806897312767E-3</v>
      </c>
      <c r="Y30">
        <f t="shared" si="17"/>
        <v>0.48704313761482471</v>
      </c>
      <c r="AA30" s="43">
        <f t="shared" si="23"/>
        <v>19</v>
      </c>
      <c r="AB30" s="6">
        <f t="shared" si="24"/>
        <v>4.3740574475430463E-2</v>
      </c>
      <c r="AC30" s="6">
        <f>VLOOKUP($C30,'hours (1)'!$A$19:$P$103,16)</f>
        <v>0.7770279368612194</v>
      </c>
      <c r="AD30" s="6">
        <f t="shared" si="25"/>
        <v>6.1055067241991529E-2</v>
      </c>
    </row>
    <row r="31" spans="1:30" x14ac:dyDescent="0.25">
      <c r="A31" s="39">
        <f>'hours (1)'!$A31*'hours (1)'!$B31/'hours (1)'!$A$105</f>
        <v>1.9264596892108569E-2</v>
      </c>
      <c r="B31" s="9">
        <f>'hours (4)'!$E31</f>
        <v>18.194425019587609</v>
      </c>
      <c r="C31" s="26">
        <f t="shared" si="18"/>
        <v>20</v>
      </c>
      <c r="D31" s="25">
        <f t="shared" si="1"/>
        <v>1.9877490815309897</v>
      </c>
      <c r="E31" s="25">
        <f t="shared" si="19"/>
        <v>1.0811768078753795E-2</v>
      </c>
      <c r="F31" s="25">
        <f t="shared" si="2"/>
        <v>9.5200188877222775E-3</v>
      </c>
      <c r="G31" s="30">
        <f t="shared" si="3"/>
        <v>5.5036032078847145E-6</v>
      </c>
      <c r="H31" s="9">
        <f>'hours (4)'!$K31</f>
        <v>19.99176736639091</v>
      </c>
      <c r="I31" s="7">
        <f t="shared" si="4"/>
        <v>0</v>
      </c>
      <c r="J31" s="9">
        <f t="shared" si="5"/>
        <v>0.37682131030842869</v>
      </c>
      <c r="K31" s="18">
        <f t="shared" si="20"/>
        <v>9.4785934957694988E-3</v>
      </c>
      <c r="L31" s="19">
        <f t="shared" si="6"/>
        <v>-6.1974874460110352E-3</v>
      </c>
      <c r="M31" s="19">
        <f t="shared" si="7"/>
        <v>4.9406077431507711E-2</v>
      </c>
      <c r="N31" s="19">
        <f t="shared" si="8"/>
        <v>2.5877256396232336E-2</v>
      </c>
      <c r="O31" s="19">
        <f t="shared" si="9"/>
        <v>3.8038212449298392E-6</v>
      </c>
      <c r="P31" s="21">
        <f t="shared" si="10"/>
        <v>39.606831148728133</v>
      </c>
      <c r="Q31" s="9">
        <f t="shared" si="21"/>
        <v>1.9811570644480898</v>
      </c>
      <c r="R31" s="9">
        <f t="shared" si="11"/>
        <v>6.2933958360115989</v>
      </c>
      <c r="S31" s="6">
        <f t="shared" si="22"/>
        <v>2.4409558311813163E-2</v>
      </c>
      <c r="T31" s="6">
        <f t="shared" si="12"/>
        <v>1.9240433772266401E-2</v>
      </c>
      <c r="U31" s="6">
        <f t="shared" si="13"/>
        <v>0.70751196423838325</v>
      </c>
      <c r="V31" s="6">
        <f t="shared" si="14"/>
        <v>-4.1171642403095142E-4</v>
      </c>
      <c r="W31" s="6">
        <f t="shared" si="15"/>
        <v>-3.3218337255241617E-3</v>
      </c>
      <c r="X31" s="6">
        <f t="shared" si="16"/>
        <v>-3.7335501495550918E-3</v>
      </c>
      <c r="Y31">
        <f t="shared" si="17"/>
        <v>0.50992862288066843</v>
      </c>
      <c r="AA31" s="43">
        <f t="shared" si="23"/>
        <v>20</v>
      </c>
      <c r="AB31" s="6">
        <f t="shared" si="24"/>
        <v>8.449478617685513E-2</v>
      </c>
      <c r="AC31" s="6">
        <f>VLOOKUP($C31,'hours (1)'!$A$19:$P$103,16)</f>
        <v>0.62853495092319212</v>
      </c>
      <c r="AD31" s="6">
        <f t="shared" si="25"/>
        <v>0.11531516731028023</v>
      </c>
    </row>
    <row r="32" spans="1:30" x14ac:dyDescent="0.25">
      <c r="A32" s="39">
        <f>'hours (1)'!$A32*'hours (1)'!$B32/'hours (1)'!$A$105</f>
        <v>5.8128356710323138E-4</v>
      </c>
      <c r="B32" s="9">
        <f>'hours (4)'!$E32</f>
        <v>19.194425019587609</v>
      </c>
      <c r="C32" s="26">
        <f t="shared" si="18"/>
        <v>21</v>
      </c>
      <c r="D32" s="25">
        <f t="shared" si="1"/>
        <v>1.8930943633628474</v>
      </c>
      <c r="E32" s="25">
        <f t="shared" si="19"/>
        <v>1.0275902620458896E-2</v>
      </c>
      <c r="F32" s="25">
        <f t="shared" si="2"/>
        <v>9.0456652956669749E-3</v>
      </c>
      <c r="G32" s="30">
        <f t="shared" si="3"/>
        <v>5.7829507446477909E-6</v>
      </c>
      <c r="H32" s="9">
        <f>'hours (4)'!$K32</f>
        <v>20.99176736639091</v>
      </c>
      <c r="I32" s="7">
        <f t="shared" si="4"/>
        <v>0</v>
      </c>
      <c r="J32" s="9">
        <f t="shared" si="5"/>
        <v>0.35804182952286118</v>
      </c>
      <c r="K32" s="18">
        <f t="shared" si="20"/>
        <v>9.006212928220618E-3</v>
      </c>
      <c r="L32" s="19">
        <f t="shared" si="6"/>
        <v>-6.6113642056340044E-3</v>
      </c>
      <c r="M32" s="19">
        <f t="shared" si="7"/>
        <v>5.0960304499955651E-2</v>
      </c>
      <c r="N32" s="19">
        <f t="shared" si="8"/>
        <v>2.7190713700370437E-2</v>
      </c>
      <c r="O32" s="19">
        <f t="shared" si="9"/>
        <v>4.4019769114556073E-6</v>
      </c>
      <c r="P32" s="21">
        <f t="shared" si="10"/>
        <v>39.656717965786001</v>
      </c>
      <c r="Q32" s="9">
        <f t="shared" si="21"/>
        <v>1.8891557472801841</v>
      </c>
      <c r="R32" s="9">
        <f t="shared" si="11"/>
        <v>6.2973580147380854</v>
      </c>
      <c r="S32" s="6">
        <f t="shared" si="22"/>
        <v>2.4394200278739668E-2</v>
      </c>
      <c r="T32" s="6">
        <f t="shared" si="12"/>
        <v>1.9471321062386741E-2</v>
      </c>
      <c r="U32" s="6">
        <f t="shared" si="13"/>
        <v>0.68960145336760836</v>
      </c>
      <c r="V32" s="6">
        <f t="shared" si="14"/>
        <v>-3.9210703577853269E-4</v>
      </c>
      <c r="W32" s="6">
        <f t="shared" si="15"/>
        <v>-2.0826848521999213E-3</v>
      </c>
      <c r="X32" s="6">
        <f t="shared" si="16"/>
        <v>-2.4747918879784495E-3</v>
      </c>
      <c r="Y32">
        <f t="shared" si="17"/>
        <v>0.530641889624625</v>
      </c>
      <c r="AA32" s="43">
        <f t="shared" si="23"/>
        <v>21</v>
      </c>
      <c r="AB32" s="6">
        <f t="shared" si="24"/>
        <v>8.5667385052040315E-2</v>
      </c>
      <c r="AC32" s="6">
        <f>VLOOKUP($C32,'hours (1)'!$A$19:$P$103,16)</f>
        <v>0.60823820986997867</v>
      </c>
      <c r="AD32" s="6">
        <f t="shared" si="25"/>
        <v>0.11682594941974382</v>
      </c>
    </row>
    <row r="33" spans="1:30" x14ac:dyDescent="0.25">
      <c r="A33" s="39">
        <f>'hours (1)'!$A33*'hours (1)'!$B33/'hours (1)'!$A$105</f>
        <v>6.8489502996424249E-4</v>
      </c>
      <c r="B33" s="9">
        <f>'hours (4)'!$E33</f>
        <v>20.194425019587609</v>
      </c>
      <c r="C33" s="26">
        <f t="shared" si="18"/>
        <v>22</v>
      </c>
      <c r="D33" s="25">
        <f t="shared" si="1"/>
        <v>1.8070446195736272</v>
      </c>
      <c r="E33" s="25">
        <f t="shared" si="19"/>
        <v>9.7906842673527832E-3</v>
      </c>
      <c r="F33" s="25">
        <f t="shared" si="2"/>
        <v>8.6163668209604943E-3</v>
      </c>
      <c r="G33" s="30">
        <f t="shared" si="3"/>
        <v>6.0357652557086021E-6</v>
      </c>
      <c r="H33" s="9">
        <f>'hours (4)'!$K33</f>
        <v>21.99176736639091</v>
      </c>
      <c r="I33" s="7">
        <f t="shared" si="4"/>
        <v>0</v>
      </c>
      <c r="J33" s="9">
        <f t="shared" si="5"/>
        <v>0.34104638207852306</v>
      </c>
      <c r="K33" s="18">
        <f t="shared" si="20"/>
        <v>8.5787080785831565E-3</v>
      </c>
      <c r="L33" s="19">
        <f t="shared" si="6"/>
        <v>-6.9858806756929459E-3</v>
      </c>
      <c r="M33" s="19">
        <f t="shared" si="7"/>
        <v>5.2366915764401521E-2</v>
      </c>
      <c r="N33" s="19">
        <f t="shared" si="8"/>
        <v>2.8379416024338154E-2</v>
      </c>
      <c r="O33" s="19">
        <f t="shared" si="9"/>
        <v>4.9756815015677969E-6</v>
      </c>
      <c r="P33" s="21">
        <f t="shared" si="10"/>
        <v>39.699158481836342</v>
      </c>
      <c r="Q33" s="9">
        <f t="shared" si="21"/>
        <v>1.8051827222630088</v>
      </c>
      <c r="R33" s="9">
        <f t="shared" si="11"/>
        <v>6.3007268217116303</v>
      </c>
      <c r="S33" s="6">
        <f t="shared" si="22"/>
        <v>2.4381157441883152E-2</v>
      </c>
      <c r="T33" s="6">
        <f t="shared" si="12"/>
        <v>1.9682129230060054E-2</v>
      </c>
      <c r="U33" s="6">
        <f t="shared" si="13"/>
        <v>0.67450628700348259</v>
      </c>
      <c r="V33" s="6">
        <f t="shared" si="14"/>
        <v>-3.7428065286078469E-4</v>
      </c>
      <c r="W33" s="6">
        <f t="shared" si="15"/>
        <v>-1.030886098416122E-3</v>
      </c>
      <c r="X33" s="6">
        <f t="shared" si="16"/>
        <v>-1.4051667512768636E-3</v>
      </c>
      <c r="Y33">
        <f t="shared" si="17"/>
        <v>0.54947024380992127</v>
      </c>
      <c r="AA33" s="43">
        <f t="shared" si="23"/>
        <v>22</v>
      </c>
      <c r="AB33" s="6">
        <f t="shared" si="24"/>
        <v>8.6987582371572003E-2</v>
      </c>
      <c r="AC33" s="6">
        <f>VLOOKUP($C33,'hours (1)'!$A$19:$P$103,16)</f>
        <v>0.66033213534510571</v>
      </c>
      <c r="AD33" s="6">
        <f t="shared" si="25"/>
        <v>0.11867257964756635</v>
      </c>
    </row>
    <row r="34" spans="1:30" x14ac:dyDescent="0.25">
      <c r="A34" s="39">
        <f>'hours (1)'!$A34*'hours (1)'!$B34/'hours (1)'!$A$105</f>
        <v>6.7019129533823878E-4</v>
      </c>
      <c r="B34" s="9">
        <f>'hours (4)'!$E34</f>
        <v>21.194425019587609</v>
      </c>
      <c r="C34" s="26">
        <f t="shared" si="18"/>
        <v>23</v>
      </c>
      <c r="D34" s="25">
        <f t="shared" si="1"/>
        <v>1.7284774622008607</v>
      </c>
      <c r="E34" s="25">
        <f t="shared" si="19"/>
        <v>9.3492521052236759E-3</v>
      </c>
      <c r="F34" s="25">
        <f t="shared" si="2"/>
        <v>8.2259919391093131E-3</v>
      </c>
      <c r="G34" s="30">
        <f t="shared" si="3"/>
        <v>6.2656576049723777E-6</v>
      </c>
      <c r="H34" s="9">
        <f>'hours (4)'!$K34</f>
        <v>22.99176736639091</v>
      </c>
      <c r="I34" s="7">
        <f t="shared" si="4"/>
        <v>0</v>
      </c>
      <c r="J34" s="9">
        <f t="shared" si="5"/>
        <v>0.32559213976202106</v>
      </c>
      <c r="K34" s="18">
        <f t="shared" si="20"/>
        <v>8.1899708264799153E-3</v>
      </c>
      <c r="L34" s="19">
        <f t="shared" si="6"/>
        <v>-7.3263996099830198E-3</v>
      </c>
      <c r="M34" s="19">
        <f t="shared" si="7"/>
        <v>5.3645999162781989E-2</v>
      </c>
      <c r="N34" s="19">
        <f t="shared" si="8"/>
        <v>2.9460341200213503E-2</v>
      </c>
      <c r="O34" s="19">
        <f t="shared" si="9"/>
        <v>5.5229143504226252E-6</v>
      </c>
      <c r="P34" s="21">
        <f t="shared" si="10"/>
        <v>39.73570120037747</v>
      </c>
      <c r="Q34" s="9">
        <f t="shared" si="21"/>
        <v>1.7282577962433041</v>
      </c>
      <c r="R34" s="9">
        <f t="shared" si="11"/>
        <v>6.3036260358921572</v>
      </c>
      <c r="S34" s="6">
        <f t="shared" si="22"/>
        <v>2.436994386465146E-2</v>
      </c>
      <c r="T34" s="6">
        <f t="shared" si="12"/>
        <v>1.9875294382698954E-2</v>
      </c>
      <c r="U34" s="6">
        <f t="shared" si="13"/>
        <v>0.66161517202702125</v>
      </c>
      <c r="V34" s="6">
        <f t="shared" si="14"/>
        <v>-3.5800466772390192E-4</v>
      </c>
      <c r="W34" s="6">
        <f t="shared" si="15"/>
        <v>-1.2709446424383501E-4</v>
      </c>
      <c r="X34" s="6">
        <f t="shared" si="16"/>
        <v>-4.8509913196764185E-4</v>
      </c>
      <c r="Y34">
        <f t="shared" si="17"/>
        <v>0.56665457579539646</v>
      </c>
      <c r="AA34" s="43">
        <f t="shared" si="23"/>
        <v>23</v>
      </c>
      <c r="AB34" s="6">
        <f t="shared" si="24"/>
        <v>8.8224386628155807E-2</v>
      </c>
      <c r="AC34" s="6">
        <f>VLOOKUP($C34,'hours (1)'!$A$19:$P$103,16)</f>
        <v>0.69853276468925896</v>
      </c>
      <c r="AD34" s="6">
        <f t="shared" si="25"/>
        <v>0.12050264421907002</v>
      </c>
    </row>
    <row r="35" spans="1:30" x14ac:dyDescent="0.25">
      <c r="A35" s="39">
        <f>'hours (1)'!$A35*'hours (1)'!$B35/'hours (1)'!$A$105</f>
        <v>6.0546651572067987E-3</v>
      </c>
      <c r="B35" s="9">
        <f>'hours (4)'!$E35</f>
        <v>22.194425019587609</v>
      </c>
      <c r="C35" s="26">
        <f t="shared" si="18"/>
        <v>24</v>
      </c>
      <c r="D35" s="25">
        <f t="shared" si="1"/>
        <v>1.6564575679424915</v>
      </c>
      <c r="E35" s="25">
        <f t="shared" si="19"/>
        <v>8.9459316262488452E-3</v>
      </c>
      <c r="F35" s="25">
        <f t="shared" si="2"/>
        <v>7.8694739670559146E-3</v>
      </c>
      <c r="G35" s="30">
        <f t="shared" si="3"/>
        <v>6.4756115696369326E-6</v>
      </c>
      <c r="H35" s="9">
        <f>'hours (4)'!$K35</f>
        <v>23.99176736639091</v>
      </c>
      <c r="I35" s="7">
        <f t="shared" si="4"/>
        <v>0</v>
      </c>
      <c r="J35" s="9">
        <f t="shared" si="5"/>
        <v>0.31147845201338004</v>
      </c>
      <c r="K35" s="18">
        <f t="shared" si="20"/>
        <v>7.834953991614357E-3</v>
      </c>
      <c r="L35" s="19">
        <f t="shared" si="6"/>
        <v>-7.6373514237173257E-3</v>
      </c>
      <c r="M35" s="19">
        <f t="shared" si="7"/>
        <v>5.4814154190920436E-2</v>
      </c>
      <c r="N35" s="19">
        <f t="shared" si="8"/>
        <v>3.0447518576527003E-2</v>
      </c>
      <c r="O35" s="19">
        <f t="shared" si="9"/>
        <v>6.0430902284469568E-6</v>
      </c>
      <c r="P35" s="21">
        <f t="shared" si="10"/>
        <v>39.767493725071105</v>
      </c>
      <c r="Q35" s="9">
        <f t="shared" si="21"/>
        <v>1.6575474877594791</v>
      </c>
      <c r="R35" s="9">
        <f t="shared" si="11"/>
        <v>6.3061472964934069</v>
      </c>
      <c r="S35" s="6">
        <f t="shared" si="22"/>
        <v>2.4360200517972136E-2</v>
      </c>
      <c r="T35" s="6">
        <f t="shared" si="12"/>
        <v>2.005289236078793E-2</v>
      </c>
      <c r="U35" s="6">
        <f t="shared" si="13"/>
        <v>0.65048108203866706</v>
      </c>
      <c r="V35" s="6">
        <f t="shared" si="14"/>
        <v>-3.4308524739220348E-4</v>
      </c>
      <c r="W35" s="6">
        <f t="shared" si="15"/>
        <v>6.5776595869040326E-4</v>
      </c>
      <c r="X35" s="6">
        <f t="shared" si="16"/>
        <v>3.1468071129824688E-4</v>
      </c>
      <c r="Y35">
        <f t="shared" si="17"/>
        <v>0.58239769736062663</v>
      </c>
      <c r="AA35" s="43">
        <f t="shared" si="23"/>
        <v>24</v>
      </c>
      <c r="AB35" s="6">
        <f t="shared" si="24"/>
        <v>9.8940807796218153E-2</v>
      </c>
      <c r="AC35" s="6">
        <f>VLOOKUP($C35,'hours (1)'!$A$19:$P$103,16)</f>
        <v>0.69714167607863164</v>
      </c>
      <c r="AD35" s="6">
        <f t="shared" si="25"/>
        <v>0.13632785417374618</v>
      </c>
    </row>
    <row r="36" spans="1:30" x14ac:dyDescent="0.25">
      <c r="A36" s="39">
        <f>'hours (1)'!$A36*'hours (1)'!$B36/'hours (1)'!$A$105</f>
        <v>1.2872118231051756E-2</v>
      </c>
      <c r="B36" s="9">
        <f>'hours (4)'!$E36</f>
        <v>23.194425019587609</v>
      </c>
      <c r="C36" s="26">
        <f t="shared" si="18"/>
        <v>25</v>
      </c>
      <c r="D36" s="25">
        <f t="shared" si="1"/>
        <v>1.5901992652247918</v>
      </c>
      <c r="E36" s="25">
        <f t="shared" si="19"/>
        <v>8.5759887721019498E-3</v>
      </c>
      <c r="F36" s="25">
        <f t="shared" si="2"/>
        <v>7.5425894192767372E-3</v>
      </c>
      <c r="G36" s="30">
        <f t="shared" si="3"/>
        <v>6.6681143666166582E-6</v>
      </c>
      <c r="H36" s="9">
        <f>'hours (4)'!$K36</f>
        <v>24.99176736639091</v>
      </c>
      <c r="I36" s="7">
        <f t="shared" si="4"/>
        <v>0</v>
      </c>
      <c r="J36" s="9">
        <f t="shared" si="5"/>
        <v>0.29853806550155354</v>
      </c>
      <c r="K36" s="18">
        <f t="shared" si="20"/>
        <v>7.5094504702680007E-3</v>
      </c>
      <c r="L36" s="19">
        <f t="shared" si="6"/>
        <v>-7.9224284526967226E-3</v>
      </c>
      <c r="M36" s="19">
        <f t="shared" si="7"/>
        <v>5.5885217980782317E-2</v>
      </c>
      <c r="N36" s="19">
        <f t="shared" si="8"/>
        <v>3.1352642737240394E-2</v>
      </c>
      <c r="O36" s="19">
        <f t="shared" si="9"/>
        <v>6.5365080519352858E-6</v>
      </c>
      <c r="P36" s="21">
        <f t="shared" si="10"/>
        <v>39.795404447520326</v>
      </c>
      <c r="Q36" s="9">
        <f t="shared" si="21"/>
        <v>1.5923405441520491</v>
      </c>
      <c r="R36" s="9">
        <f t="shared" si="11"/>
        <v>6.308359885700904</v>
      </c>
      <c r="S36" s="6">
        <f t="shared" si="22"/>
        <v>2.4351656440314059E-2</v>
      </c>
      <c r="T36" s="6">
        <f t="shared" si="12"/>
        <v>2.0216697364890943E-2</v>
      </c>
      <c r="U36" s="6">
        <f t="shared" si="13"/>
        <v>0.64076972972550361</v>
      </c>
      <c r="V36" s="6">
        <f t="shared" si="14"/>
        <v>-3.2935957727496019E-4</v>
      </c>
      <c r="W36" s="6">
        <f t="shared" si="15"/>
        <v>1.3456417695444668E-3</v>
      </c>
      <c r="X36" s="6">
        <f t="shared" si="16"/>
        <v>1.0162821922695706E-3</v>
      </c>
      <c r="Y36">
        <f t="shared" si="17"/>
        <v>0.59687119609261141</v>
      </c>
      <c r="AA36" s="43">
        <f t="shared" si="23"/>
        <v>25</v>
      </c>
      <c r="AB36" s="6">
        <f t="shared" si="24"/>
        <v>0.12082747514237994</v>
      </c>
      <c r="AC36" s="6">
        <f>VLOOKUP($C36,'hours (1)'!$A$19:$P$103,16)</f>
        <v>0.62001171553543699</v>
      </c>
      <c r="AD36" s="6">
        <f t="shared" si="25"/>
        <v>0.16507258153447252</v>
      </c>
    </row>
    <row r="37" spans="1:30" x14ac:dyDescent="0.25">
      <c r="A37" s="39">
        <f>'hours (1)'!$A37*'hours (1)'!$B37/'hours (1)'!$A$105</f>
        <v>6.2421781477626419E-4</v>
      </c>
      <c r="B37" s="9">
        <f>'hours (4)'!$E37</f>
        <v>24.194425019587609</v>
      </c>
      <c r="C37" s="26">
        <f t="shared" si="18"/>
        <v>26</v>
      </c>
      <c r="D37" s="25">
        <f t="shared" si="1"/>
        <v>1.5290377550238383</v>
      </c>
      <c r="E37" s="25">
        <f t="shared" si="19"/>
        <v>8.2354427594311663E-3</v>
      </c>
      <c r="F37" s="25">
        <f t="shared" si="2"/>
        <v>7.2417895355607696E-3</v>
      </c>
      <c r="G37" s="30">
        <f t="shared" si="3"/>
        <v>6.8452558660845874E-6</v>
      </c>
      <c r="H37" s="9">
        <f>'hours (4)'!$K37</f>
        <v>25.99176736639091</v>
      </c>
      <c r="I37" s="7">
        <f t="shared" si="4"/>
        <v>0</v>
      </c>
      <c r="J37" s="9">
        <f t="shared" si="5"/>
        <v>0.28663045037844309</v>
      </c>
      <c r="K37" s="18">
        <f t="shared" si="20"/>
        <v>7.2099253633581524E-3</v>
      </c>
      <c r="L37" s="19">
        <f t="shared" si="6"/>
        <v>-8.1847325665212328E-3</v>
      </c>
      <c r="M37" s="19">
        <f t="shared" si="7"/>
        <v>5.6870817201917327E-2</v>
      </c>
      <c r="N37" s="19">
        <f t="shared" si="8"/>
        <v>3.2185539991456964E-2</v>
      </c>
      <c r="O37" s="19">
        <f t="shared" si="9"/>
        <v>7.0039962389162325E-6</v>
      </c>
      <c r="P37" s="21">
        <f t="shared" si="10"/>
        <v>39.820102497468675</v>
      </c>
      <c r="Q37" s="9">
        <f t="shared" si="21"/>
        <v>1.5320275045612606</v>
      </c>
      <c r="R37" s="9">
        <f t="shared" si="11"/>
        <v>6.310317147138381</v>
      </c>
      <c r="S37" s="6">
        <f t="shared" si="22"/>
        <v>2.4344103324206268E-2</v>
      </c>
      <c r="T37" s="6">
        <f t="shared" si="12"/>
        <v>2.03682315096506E-2</v>
      </c>
      <c r="U37" s="6">
        <f t="shared" si="13"/>
        <v>0.63222624156397733</v>
      </c>
      <c r="V37" s="6">
        <f t="shared" si="14"/>
        <v>-3.1668989514748466E-4</v>
      </c>
      <c r="W37" s="6">
        <f t="shared" si="15"/>
        <v>1.9534052590018934E-3</v>
      </c>
      <c r="X37" s="6">
        <f t="shared" si="16"/>
        <v>1.6367153638545907E-3</v>
      </c>
      <c r="Y37">
        <f t="shared" si="17"/>
        <v>0.61022099371033933</v>
      </c>
      <c r="AA37" s="43">
        <f t="shared" si="23"/>
        <v>26</v>
      </c>
      <c r="AB37" s="6">
        <f t="shared" si="24"/>
        <v>0.12184864123322152</v>
      </c>
      <c r="AC37" s="6">
        <f>VLOOKUP($C37,'hours (1)'!$A$19:$P$103,16)</f>
        <v>0.7536528778924938</v>
      </c>
      <c r="AD37" s="6">
        <f t="shared" si="25"/>
        <v>0.16670280225076461</v>
      </c>
    </row>
    <row r="38" spans="1:30" x14ac:dyDescent="0.25">
      <c r="A38" s="39">
        <f>'hours (1)'!$A38*'hours (1)'!$B38/'hours (1)'!$A$105</f>
        <v>7.8317122395807619E-4</v>
      </c>
      <c r="B38" s="9">
        <f>'hours (4)'!$E38</f>
        <v>25.194425019587609</v>
      </c>
      <c r="C38" s="26">
        <f t="shared" si="18"/>
        <v>27</v>
      </c>
      <c r="D38" s="25">
        <f t="shared" si="1"/>
        <v>1.4724067270599923</v>
      </c>
      <c r="E38" s="25">
        <f t="shared" si="19"/>
        <v>7.9209219179048624E-3</v>
      </c>
      <c r="F38" s="25">
        <f t="shared" si="2"/>
        <v>6.9640706652889239E-3</v>
      </c>
      <c r="G38" s="30">
        <f t="shared" si="3"/>
        <v>7.0088049223633047E-6</v>
      </c>
      <c r="H38" s="9">
        <f>'hours (4)'!$K38</f>
        <v>26.99176736639091</v>
      </c>
      <c r="I38" s="7">
        <f t="shared" si="4"/>
        <v>0</v>
      </c>
      <c r="J38" s="9">
        <f t="shared" si="5"/>
        <v>0.2756366659684345</v>
      </c>
      <c r="K38" s="18">
        <f t="shared" si="20"/>
        <v>6.9333868275802601E-3</v>
      </c>
      <c r="L38" s="19">
        <f t="shared" si="6"/>
        <v>-8.4268887051715535E-3</v>
      </c>
      <c r="M38" s="19">
        <f t="shared" si="7"/>
        <v>5.778079267716376E-2</v>
      </c>
      <c r="N38" s="19">
        <f t="shared" si="8"/>
        <v>3.2954527271757794E-2</v>
      </c>
      <c r="O38" s="19">
        <f t="shared" si="9"/>
        <v>7.4466845352422206E-6</v>
      </c>
      <c r="P38" s="21">
        <f t="shared" si="10"/>
        <v>39.842111736936374</v>
      </c>
      <c r="Q38" s="9">
        <f t="shared" si="21"/>
        <v>1.4760838442371214</v>
      </c>
      <c r="R38" s="9">
        <f t="shared" si="11"/>
        <v>6.3120608153705531</v>
      </c>
      <c r="S38" s="6">
        <f t="shared" si="22"/>
        <v>2.4337378414410759E-2</v>
      </c>
      <c r="T38" s="6">
        <f t="shared" si="12"/>
        <v>2.0508806024920018E-2</v>
      </c>
      <c r="U38" s="6">
        <f t="shared" si="13"/>
        <v>0.62465296570959805</v>
      </c>
      <c r="V38" s="6">
        <f t="shared" si="14"/>
        <v>-3.049588511161909E-4</v>
      </c>
      <c r="W38" s="6">
        <f t="shared" si="15"/>
        <v>2.4942383192760363E-3</v>
      </c>
      <c r="X38" s="6">
        <f t="shared" si="16"/>
        <v>2.1892794681596466E-3</v>
      </c>
      <c r="Y38">
        <f t="shared" si="17"/>
        <v>0.62257183175880004</v>
      </c>
      <c r="AA38" s="43">
        <f t="shared" si="23"/>
        <v>27</v>
      </c>
      <c r="AB38" s="6">
        <f t="shared" si="24"/>
        <v>0.12308305686446397</v>
      </c>
      <c r="AC38" s="6">
        <f>VLOOKUP($C38,'hours (1)'!$A$19:$P$103,16)</f>
        <v>0.68938735668071227</v>
      </c>
      <c r="AD38" s="6">
        <f t="shared" si="25"/>
        <v>0.16850541893954638</v>
      </c>
    </row>
    <row r="39" spans="1:30" x14ac:dyDescent="0.25">
      <c r="A39" s="39">
        <f>'hours (1)'!$A39*'hours (1)'!$B39/'hours (1)'!$A$105</f>
        <v>2.3171448092864709E-3</v>
      </c>
      <c r="B39" s="9">
        <f>'hours (4)'!$E39</f>
        <v>26.194425019587609</v>
      </c>
      <c r="C39" s="26">
        <f t="shared" si="18"/>
        <v>28</v>
      </c>
      <c r="D39" s="25">
        <f t="shared" si="1"/>
        <v>1.4198207725221355</v>
      </c>
      <c r="E39" s="25">
        <f t="shared" si="19"/>
        <v>7.6295514296298777E-3</v>
      </c>
      <c r="F39" s="25">
        <f t="shared" si="2"/>
        <v>6.7068734360359377E-3</v>
      </c>
      <c r="G39" s="30">
        <f t="shared" si="3"/>
        <v>7.1602687536854313E-6</v>
      </c>
      <c r="H39" s="9">
        <f>'hours (4)'!$K39</f>
        <v>27.99176736639091</v>
      </c>
      <c r="I39" s="7">
        <f t="shared" si="4"/>
        <v>0</v>
      </c>
      <c r="J39" s="9">
        <f t="shared" si="5"/>
        <v>0.26545536680040521</v>
      </c>
      <c r="K39" s="18">
        <f t="shared" si="20"/>
        <v>6.6772856108163331E-3</v>
      </c>
      <c r="L39" s="19">
        <f t="shared" si="6"/>
        <v>-8.6511331796787494E-3</v>
      </c>
      <c r="M39" s="19">
        <f t="shared" si="7"/>
        <v>5.8623529705732549E-2</v>
      </c>
      <c r="N39" s="19">
        <f t="shared" si="8"/>
        <v>3.3666691330435414E-2</v>
      </c>
      <c r="O39" s="19">
        <f t="shared" si="9"/>
        <v>7.8658575226042693E-6</v>
      </c>
      <c r="P39" s="21">
        <f t="shared" si="10"/>
        <v>39.861848115903605</v>
      </c>
      <c r="Q39" s="9">
        <f t="shared" si="21"/>
        <v>1.4240561374400689</v>
      </c>
      <c r="R39" s="9">
        <f t="shared" si="11"/>
        <v>6.3136240081195529</v>
      </c>
      <c r="S39" s="6">
        <f t="shared" si="22"/>
        <v>2.4331352712940714E-2</v>
      </c>
      <c r="T39" s="6">
        <f t="shared" si="12"/>
        <v>2.0639555266574416E-2</v>
      </c>
      <c r="U39" s="6">
        <f t="shared" si="13"/>
        <v>0.61789431111737325</v>
      </c>
      <c r="V39" s="6">
        <f t="shared" si="14"/>
        <v>-2.9406586202381115E-4</v>
      </c>
      <c r="W39" s="6">
        <f t="shared" si="15"/>
        <v>2.9785874588572378E-3</v>
      </c>
      <c r="X39" s="6">
        <f t="shared" si="16"/>
        <v>2.6845215968331945E-3</v>
      </c>
      <c r="Y39">
        <f t="shared" si="17"/>
        <v>0.63403089106766686</v>
      </c>
      <c r="AA39" s="43">
        <f t="shared" si="23"/>
        <v>28</v>
      </c>
      <c r="AB39" s="6">
        <f t="shared" si="24"/>
        <v>0.12660655421612024</v>
      </c>
      <c r="AC39" s="6">
        <f>VLOOKUP($C39,'hours (1)'!$A$19:$P$103,16)</f>
        <v>0.71162305464185771</v>
      </c>
      <c r="AD39" s="6">
        <f t="shared" si="25"/>
        <v>0.17381674079719006</v>
      </c>
    </row>
    <row r="40" spans="1:30" x14ac:dyDescent="0.25">
      <c r="A40" s="39">
        <f>'hours (1)'!$A40*'hours (1)'!$B40/'hours (1)'!$A$105</f>
        <v>3.744736305342058E-4</v>
      </c>
      <c r="B40" s="9">
        <f>'hours (4)'!$E40</f>
        <v>27.194425019587609</v>
      </c>
      <c r="C40" s="26">
        <f t="shared" si="18"/>
        <v>29</v>
      </c>
      <c r="D40" s="25">
        <f t="shared" si="1"/>
        <v>1.3708614355386137</v>
      </c>
      <c r="E40" s="25">
        <f t="shared" si="19"/>
        <v>7.358865023638239E-3</v>
      </c>
      <c r="F40" s="25">
        <f t="shared" si="2"/>
        <v>6.4680035125820202E-3</v>
      </c>
      <c r="G40" s="30">
        <f t="shared" si="3"/>
        <v>7.3009396073296839E-6</v>
      </c>
      <c r="H40" s="9">
        <f>'hours (4)'!$K40</f>
        <v>28.99176736639091</v>
      </c>
      <c r="I40" s="7">
        <f t="shared" si="4"/>
        <v>0</v>
      </c>
      <c r="J40" s="9">
        <f t="shared" si="5"/>
        <v>0.2559996639485953</v>
      </c>
      <c r="K40" s="18">
        <f t="shared" si="20"/>
        <v>6.439436102051198E-3</v>
      </c>
      <c r="L40" s="19">
        <f t="shared" si="6"/>
        <v>-8.8593830492178227E-3</v>
      </c>
      <c r="M40" s="19">
        <f t="shared" si="7"/>
        <v>5.940621765887253E-2</v>
      </c>
      <c r="N40" s="19">
        <f t="shared" si="8"/>
        <v>3.4328108153147879E-2</v>
      </c>
      <c r="O40" s="19">
        <f t="shared" si="9"/>
        <v>8.2628611474400149E-6</v>
      </c>
      <c r="P40" s="21">
        <f t="shared" si="10"/>
        <v>39.879646074148539</v>
      </c>
      <c r="Q40" s="9">
        <f t="shared" si="21"/>
        <v>1.3755507061766628</v>
      </c>
      <c r="R40" s="9">
        <f t="shared" si="11"/>
        <v>6.3150333391161553</v>
      </c>
      <c r="S40" s="6">
        <f t="shared" si="22"/>
        <v>2.4325922665666817E-2</v>
      </c>
      <c r="T40" s="6">
        <f t="shared" si="12"/>
        <v>2.0761464729158966E-2</v>
      </c>
      <c r="U40" s="6">
        <f t="shared" si="13"/>
        <v>0.61182615398770501</v>
      </c>
      <c r="V40" s="6">
        <f t="shared" si="14"/>
        <v>-2.8392422022187314E-4</v>
      </c>
      <c r="W40" s="6">
        <f t="shared" si="15"/>
        <v>3.4148372151911795E-3</v>
      </c>
      <c r="X40" s="6">
        <f t="shared" si="16"/>
        <v>3.1309129949693036E-3</v>
      </c>
      <c r="Y40">
        <f t="shared" si="17"/>
        <v>0.6446907191358654</v>
      </c>
      <c r="AA40" s="43">
        <f t="shared" si="23"/>
        <v>29</v>
      </c>
      <c r="AB40" s="6">
        <f t="shared" si="24"/>
        <v>0.12715659071521537</v>
      </c>
      <c r="AC40" s="6">
        <f>VLOOKUP($C40,'hours (1)'!$A$19:$P$103,16)</f>
        <v>0.80996890954765532</v>
      </c>
      <c r="AD40" s="6">
        <f t="shared" si="25"/>
        <v>0.1747604507141915</v>
      </c>
    </row>
    <row r="41" spans="1:30" x14ac:dyDescent="0.25">
      <c r="A41" s="39">
        <f>'hours (1)'!$A41*'hours (1)'!$B41/'hours (1)'!$A$105</f>
        <v>2.6237009772075728E-2</v>
      </c>
      <c r="B41" s="9">
        <f>'hours (4)'!$E41</f>
        <v>28.194425019587609</v>
      </c>
      <c r="C41" s="26">
        <f t="shared" si="18"/>
        <v>30</v>
      </c>
      <c r="D41" s="25">
        <f t="shared" si="1"/>
        <v>1.3251660543539932</v>
      </c>
      <c r="E41" s="25">
        <f t="shared" si="19"/>
        <v>7.1067348643545957E-3</v>
      </c>
      <c r="F41" s="25">
        <f t="shared" si="2"/>
        <v>6.2455687370002524E-3</v>
      </c>
      <c r="G41" s="30">
        <f t="shared" si="3"/>
        <v>7.4319317779169999E-6</v>
      </c>
      <c r="H41" s="9">
        <f>'hours (4)'!$K41</f>
        <v>29</v>
      </c>
      <c r="I41" s="7">
        <f t="shared" si="4"/>
        <v>0</v>
      </c>
      <c r="J41" s="9">
        <f t="shared" si="5"/>
        <v>0.24948176252203186</v>
      </c>
      <c r="K41" s="18">
        <f t="shared" si="20"/>
        <v>6.2754842862228315E-3</v>
      </c>
      <c r="L41" s="19">
        <f t="shared" si="6"/>
        <v>-8.6982223756643939E-3</v>
      </c>
      <c r="M41" s="19">
        <f t="shared" si="7"/>
        <v>6.0192586494674627E-2</v>
      </c>
      <c r="N41" s="19">
        <f t="shared" si="8"/>
        <v>3.4944017014333709E-2</v>
      </c>
      <c r="O41" s="19">
        <f t="shared" si="9"/>
        <v>7.673128537957763E-6</v>
      </c>
      <c r="P41" s="21">
        <f t="shared" si="10"/>
        <v>39.825342380074375</v>
      </c>
      <c r="Q41" s="9">
        <f t="shared" si="21"/>
        <v>1.3732876682784267</v>
      </c>
      <c r="R41" s="9">
        <f t="shared" si="11"/>
        <v>6.3107323172571954</v>
      </c>
      <c r="S41" s="6">
        <f t="shared" si="22"/>
        <v>2.4342501775644003E-2</v>
      </c>
      <c r="T41" s="6">
        <f t="shared" si="12"/>
        <v>2.0779055731419128E-2</v>
      </c>
      <c r="U41" s="6">
        <f t="shared" si="13"/>
        <v>0.60588842376686469</v>
      </c>
      <c r="V41" s="6">
        <f t="shared" si="14"/>
        <v>-3.3901551675681339E-2</v>
      </c>
      <c r="W41" s="6">
        <f t="shared" si="15"/>
        <v>3.566984726038392E-2</v>
      </c>
      <c r="X41" s="6">
        <f t="shared" si="16"/>
        <v>1.7682955847024852E-3</v>
      </c>
      <c r="Y41">
        <f t="shared" si="17"/>
        <v>0.65163018160936637</v>
      </c>
      <c r="AA41" s="43">
        <f t="shared" si="23"/>
        <v>29</v>
      </c>
      <c r="AB41" s="6">
        <f t="shared" si="24"/>
        <v>0.1656307838785461</v>
      </c>
      <c r="AC41" s="6">
        <f>VLOOKUP($C41,'hours (1)'!$A$19:$P$103,16)</f>
        <v>0.59836903719357315</v>
      </c>
      <c r="AD41" s="6">
        <f t="shared" si="25"/>
        <v>0.22352646870734658</v>
      </c>
    </row>
    <row r="42" spans="1:30" x14ac:dyDescent="0.25">
      <c r="A42" s="39">
        <f>'hours (1)'!$A42*'hours (1)'!$B42/'hours (1)'!$A$105</f>
        <v>2.528195908241891E-4</v>
      </c>
      <c r="B42" s="9">
        <f>'hours (4)'!$E42</f>
        <v>29.194425019587609</v>
      </c>
      <c r="C42" s="26">
        <f t="shared" si="18"/>
        <v>31</v>
      </c>
      <c r="D42" s="25">
        <f t="shared" si="1"/>
        <v>1.2824187622780578</v>
      </c>
      <c r="E42" s="25">
        <f t="shared" si="19"/>
        <v>6.8713154043590196E-3</v>
      </c>
      <c r="F42" s="25">
        <f t="shared" si="2"/>
        <v>6.0379288294999754E-3</v>
      </c>
      <c r="G42" s="30">
        <f t="shared" si="3"/>
        <v>7.5542112286587851E-6</v>
      </c>
      <c r="H42" s="9">
        <f>'hours (4)'!$K42</f>
        <v>29</v>
      </c>
      <c r="I42" s="7">
        <f t="shared" si="4"/>
        <v>0</v>
      </c>
      <c r="J42" s="9">
        <f t="shared" si="5"/>
        <v>0.24799878500437103</v>
      </c>
      <c r="K42" s="18">
        <f t="shared" si="20"/>
        <v>6.2381813506702565E-3</v>
      </c>
      <c r="L42" s="19">
        <f t="shared" si="6"/>
        <v>-7.8334297260767016E-3</v>
      </c>
      <c r="M42" s="19">
        <f t="shared" si="7"/>
        <v>6.1042395260446906E-2</v>
      </c>
      <c r="N42" s="19">
        <f t="shared" si="8"/>
        <v>3.5518959752629663E-2</v>
      </c>
      <c r="O42" s="19">
        <f t="shared" si="9"/>
        <v>5.5233932721165946E-6</v>
      </c>
      <c r="P42" s="21">
        <f t="shared" si="10"/>
        <v>39.635719020687837</v>
      </c>
      <c r="Q42" s="9">
        <f t="shared" si="21"/>
        <v>1.3667489317478565</v>
      </c>
      <c r="R42" s="9">
        <f t="shared" si="11"/>
        <v>6.2956905118253577</v>
      </c>
      <c r="S42" s="6">
        <f t="shared" si="22"/>
        <v>2.4400661428623394E-2</v>
      </c>
      <c r="T42" s="6">
        <f t="shared" si="12"/>
        <v>2.0837215384398519E-2</v>
      </c>
      <c r="U42" s="6">
        <f t="shared" si="13"/>
        <v>0.60422051454475034</v>
      </c>
      <c r="V42" s="6">
        <f t="shared" si="14"/>
        <v>-6.6691374498672282E-2</v>
      </c>
      <c r="W42" s="6">
        <f t="shared" si="15"/>
        <v>6.3686924388872246E-2</v>
      </c>
      <c r="X42" s="6">
        <f t="shared" si="16"/>
        <v>-3.0044501098001101E-3</v>
      </c>
      <c r="Y42">
        <f t="shared" si="17"/>
        <v>0.65447303312559202</v>
      </c>
      <c r="AA42" s="43">
        <f t="shared" si="23"/>
        <v>29</v>
      </c>
      <c r="AB42" s="6">
        <f t="shared" si="24"/>
        <v>0.16599975564125574</v>
      </c>
      <c r="AC42" s="6">
        <f>VLOOKUP($C42,'hours (1)'!$A$19:$P$103,16)</f>
        <v>0.81852105456597501</v>
      </c>
      <c r="AD42" s="6">
        <f t="shared" si="25"/>
        <v>0.22416620596878695</v>
      </c>
    </row>
    <row r="43" spans="1:30" x14ac:dyDescent="0.25">
      <c r="A43" s="39">
        <f>'hours (1)'!$A43*'hours (1)'!$B43/'hours (1)'!$A$105</f>
        <v>1.1357041596156411E-2</v>
      </c>
      <c r="B43" s="9">
        <f>'hours (4)'!$E43</f>
        <v>30.194425019587609</v>
      </c>
      <c r="C43" s="26">
        <f t="shared" si="18"/>
        <v>32</v>
      </c>
      <c r="D43" s="25">
        <f t="shared" si="1"/>
        <v>1.2423431759568686</v>
      </c>
      <c r="E43" s="25">
        <f t="shared" si="19"/>
        <v>6.6509980597828254E-3</v>
      </c>
      <c r="F43" s="25">
        <f t="shared" si="2"/>
        <v>5.8436548153881262E-3</v>
      </c>
      <c r="G43" s="30">
        <f t="shared" si="3"/>
        <v>7.6686194848797959E-6</v>
      </c>
      <c r="H43" s="9">
        <f>'hours (4)'!$K43</f>
        <v>29</v>
      </c>
      <c r="I43" s="7">
        <f t="shared" si="4"/>
        <v>0</v>
      </c>
      <c r="J43" s="9">
        <f t="shared" si="5"/>
        <v>0.25121166636648351</v>
      </c>
      <c r="K43" s="18">
        <f t="shared" si="20"/>
        <v>6.318998426426063E-3</v>
      </c>
      <c r="L43" s="19">
        <f t="shared" si="6"/>
        <v>-6.3101078893246648E-3</v>
      </c>
      <c r="M43" s="19">
        <f t="shared" si="7"/>
        <v>6.195322017649102E-2</v>
      </c>
      <c r="N43" s="19">
        <f t="shared" si="8"/>
        <v>3.6056893115237548E-2</v>
      </c>
      <c r="O43" s="19">
        <f t="shared" si="9"/>
        <v>2.8571896704826516E-6</v>
      </c>
      <c r="P43" s="21">
        <f t="shared" si="10"/>
        <v>39.323272587739673</v>
      </c>
      <c r="Q43" s="9">
        <f t="shared" si="21"/>
        <v>1.3559749168186095</v>
      </c>
      <c r="R43" s="9">
        <f t="shared" si="11"/>
        <v>6.2708271055531162</v>
      </c>
      <c r="S43" s="6">
        <f t="shared" si="22"/>
        <v>2.4497408404452789E-2</v>
      </c>
      <c r="T43" s="6">
        <f t="shared" si="12"/>
        <v>2.0933962360227914E-2</v>
      </c>
      <c r="U43" s="6">
        <f t="shared" si="13"/>
        <v>0.60646562428006523</v>
      </c>
      <c r="V43" s="6">
        <f t="shared" si="14"/>
        <v>-9.8440072813252524E-2</v>
      </c>
      <c r="W43" s="6">
        <f t="shared" si="15"/>
        <v>8.752143693677332E-2</v>
      </c>
      <c r="X43" s="6">
        <f t="shared" si="16"/>
        <v>-1.0918635876479175E-2</v>
      </c>
      <c r="Y43">
        <f t="shared" si="17"/>
        <v>0.65353140975689827</v>
      </c>
      <c r="AA43" s="43">
        <f t="shared" si="23"/>
        <v>29</v>
      </c>
      <c r="AB43" s="6">
        <f t="shared" si="24"/>
        <v>0.18244387180820867</v>
      </c>
      <c r="AC43" s="6">
        <f>VLOOKUP($C43,'hours (1)'!$A$19:$P$103,16)</f>
        <v>0.71987074955486186</v>
      </c>
      <c r="AD43" s="6">
        <f t="shared" si="25"/>
        <v>0.24924136662199745</v>
      </c>
    </row>
    <row r="44" spans="1:30" x14ac:dyDescent="0.25">
      <c r="A44" s="39">
        <f>'hours (1)'!$A44*'hours (1)'!$B44/'hours (1)'!$A$105</f>
        <v>9.0926864084060538E-4</v>
      </c>
      <c r="B44" s="9">
        <f>'hours (4)'!$E44</f>
        <v>31.194425019587609</v>
      </c>
      <c r="C44" s="26">
        <f t="shared" si="18"/>
        <v>33</v>
      </c>
      <c r="D44" s="25">
        <f t="shared" si="1"/>
        <v>1.2046964130490847</v>
      </c>
      <c r="E44" s="25">
        <f t="shared" si="19"/>
        <v>6.444374349546025E-3</v>
      </c>
      <c r="F44" s="25">
        <f t="shared" si="2"/>
        <v>5.6614960519511658E-3</v>
      </c>
      <c r="G44" s="30">
        <f t="shared" si="3"/>
        <v>7.7758930519364795E-6</v>
      </c>
      <c r="H44" s="9">
        <f>'hours (4)'!$K44</f>
        <v>29</v>
      </c>
      <c r="I44" s="7">
        <f t="shared" si="4"/>
        <v>0</v>
      </c>
      <c r="J44" s="9">
        <f t="shared" si="5"/>
        <v>0.25881434788793523</v>
      </c>
      <c r="K44" s="18">
        <f t="shared" si="20"/>
        <v>6.5102368878619506E-3</v>
      </c>
      <c r="L44" s="19">
        <f t="shared" si="6"/>
        <v>-4.1691759966522579E-3</v>
      </c>
      <c r="M44" s="19">
        <f t="shared" si="7"/>
        <v>6.2922705808662036E-2</v>
      </c>
      <c r="N44" s="19">
        <f t="shared" si="8"/>
        <v>3.6561280058556286E-2</v>
      </c>
      <c r="O44" s="19">
        <f t="shared" si="9"/>
        <v>8.1885574677864614E-7</v>
      </c>
      <c r="P44" s="21">
        <f t="shared" si="10"/>
        <v>38.898379540679848</v>
      </c>
      <c r="Q44" s="9">
        <f t="shared" si="21"/>
        <v>1.3413234324372361</v>
      </c>
      <c r="R44" s="9">
        <f t="shared" si="11"/>
        <v>6.2368565432178933</v>
      </c>
      <c r="S44" s="6">
        <f t="shared" si="22"/>
        <v>2.4630839522114114E-2</v>
      </c>
      <c r="T44" s="6">
        <f t="shared" si="12"/>
        <v>2.1067393477889239E-2</v>
      </c>
      <c r="U44" s="6">
        <f t="shared" si="13"/>
        <v>0.61238229621002815</v>
      </c>
      <c r="V44" s="6">
        <f t="shared" si="14"/>
        <v>-0.12921173148000623</v>
      </c>
      <c r="W44" s="6">
        <f t="shared" si="15"/>
        <v>0.1074291668961069</v>
      </c>
      <c r="X44" s="6">
        <f t="shared" si="16"/>
        <v>-2.1782564583899322E-2</v>
      </c>
      <c r="Y44">
        <f t="shared" si="17"/>
        <v>0.64916809923002194</v>
      </c>
      <c r="AA44" s="43">
        <f t="shared" si="23"/>
        <v>29</v>
      </c>
      <c r="AB44" s="6">
        <f t="shared" si="24"/>
        <v>0.18374619684154311</v>
      </c>
      <c r="AC44" s="6">
        <f>VLOOKUP($C44,'hours (1)'!$A$19:$P$103,16)</f>
        <v>0.72869783316357495</v>
      </c>
      <c r="AD44" s="6">
        <f t="shared" si="25"/>
        <v>0.25125159559249804</v>
      </c>
    </row>
    <row r="45" spans="1:30" x14ac:dyDescent="0.25">
      <c r="A45" s="39">
        <f>'hours (1)'!$A45*'hours (1)'!$B45/'hours (1)'!$A$105</f>
        <v>1.2454175232232191E-3</v>
      </c>
      <c r="B45" s="9">
        <f>'hours (4)'!$E45</f>
        <v>32.194425019587612</v>
      </c>
      <c r="C45" s="26">
        <f t="shared" si="18"/>
        <v>34</v>
      </c>
      <c r="D45" s="25">
        <f t="shared" si="1"/>
        <v>1.1692641656064646</v>
      </c>
      <c r="E45" s="25">
        <f t="shared" si="19"/>
        <v>6.2502057096161297E-3</v>
      </c>
      <c r="F45" s="25">
        <f t="shared" si="2"/>
        <v>5.4903532443034723E-3</v>
      </c>
      <c r="G45" s="30">
        <f t="shared" si="3"/>
        <v>7.8766793062240313E-6</v>
      </c>
      <c r="H45" s="9">
        <f>'hours (4)'!$K45</f>
        <v>29</v>
      </c>
      <c r="I45" s="7">
        <f t="shared" si="4"/>
        <v>0</v>
      </c>
      <c r="J45" s="9">
        <f t="shared" si="5"/>
        <v>0.27052975059772266</v>
      </c>
      <c r="K45" s="18">
        <f t="shared" si="20"/>
        <v>6.8049270682936803E-3</v>
      </c>
      <c r="L45" s="19">
        <f t="shared" si="6"/>
        <v>-1.4478523264552789E-3</v>
      </c>
      <c r="M45" s="19">
        <f t="shared" si="7"/>
        <v>6.3948579069887865E-2</v>
      </c>
      <c r="N45" s="19">
        <f t="shared" si="8"/>
        <v>3.7035164465716745E-2</v>
      </c>
      <c r="O45" s="19">
        <f t="shared" si="9"/>
        <v>3.4212350605300479E-8</v>
      </c>
      <c r="P45" s="21">
        <f t="shared" si="10"/>
        <v>38.369610450106947</v>
      </c>
      <c r="Q45" s="9">
        <f t="shared" si="21"/>
        <v>1.3230900155209293</v>
      </c>
      <c r="R45" s="9">
        <f t="shared" si="11"/>
        <v>6.1943208223425872</v>
      </c>
      <c r="S45" s="6">
        <f t="shared" si="22"/>
        <v>2.4799976792346891E-2</v>
      </c>
      <c r="T45" s="6">
        <f t="shared" si="12"/>
        <v>2.1236530748122016E-2</v>
      </c>
      <c r="U45" s="6">
        <f t="shared" si="13"/>
        <v>0.62183758794351207</v>
      </c>
      <c r="V45" s="6">
        <f t="shared" si="14"/>
        <v>-0.15906469462968739</v>
      </c>
      <c r="W45" s="6">
        <f t="shared" si="15"/>
        <v>0.12359528908824856</v>
      </c>
      <c r="X45" s="6">
        <f t="shared" si="16"/>
        <v>-3.546940554143891E-2</v>
      </c>
      <c r="Y45">
        <f t="shared" si="17"/>
        <v>0.64178952729249261</v>
      </c>
      <c r="AA45" s="43">
        <f t="shared" si="23"/>
        <v>29</v>
      </c>
      <c r="AB45" s="6">
        <f t="shared" si="24"/>
        <v>0.18550573231900708</v>
      </c>
      <c r="AC45" s="6">
        <f>VLOOKUP($C45,'hours (1)'!$A$19:$P$103,16)</f>
        <v>0.66627594416328395</v>
      </c>
      <c r="AD45" s="6">
        <f t="shared" si="25"/>
        <v>0.25373490493315876</v>
      </c>
    </row>
    <row r="46" spans="1:30" x14ac:dyDescent="0.25">
      <c r="A46" s="39">
        <f>'hours (1)'!$A46*'hours (1)'!$B46/'hours (1)'!$A$105</f>
        <v>3.8232323146654805E-2</v>
      </c>
      <c r="B46" s="9">
        <f>'hours (4)'!$E46</f>
        <v>33.194425019587612</v>
      </c>
      <c r="C46" s="26">
        <f t="shared" si="18"/>
        <v>35</v>
      </c>
      <c r="D46" s="25">
        <f t="shared" si="1"/>
        <v>1.1358566180177085</v>
      </c>
      <c r="E46" s="25">
        <f t="shared" si="19"/>
        <v>6.0673986129950114E-3</v>
      </c>
      <c r="F46" s="25">
        <f t="shared" si="2"/>
        <v>5.3292562181198582E-3</v>
      </c>
      <c r="G46" s="30">
        <f t="shared" si="3"/>
        <v>7.9715495848473312E-6</v>
      </c>
      <c r="H46" s="9">
        <f>'hours (4)'!$K46</f>
        <v>29</v>
      </c>
      <c r="I46" s="7">
        <f t="shared" si="4"/>
        <v>0</v>
      </c>
      <c r="J46" s="9">
        <f t="shared" si="5"/>
        <v>0.28610622827079579</v>
      </c>
      <c r="K46" s="18">
        <f t="shared" si="20"/>
        <v>7.1967390383708071E-3</v>
      </c>
      <c r="L46" s="19">
        <f t="shared" si="6"/>
        <v>1.8199122542201657E-3</v>
      </c>
      <c r="M46" s="19">
        <f t="shared" si="7"/>
        <v>6.5028654961369087E-2</v>
      </c>
      <c r="N46" s="19">
        <f t="shared" si="8"/>
        <v>3.7481232692583112E-2</v>
      </c>
      <c r="O46" s="19">
        <f t="shared" si="9"/>
        <v>-6.8053731872019796E-8</v>
      </c>
      <c r="P46" s="21">
        <f t="shared" si="10"/>
        <v>37.743952573006879</v>
      </c>
      <c r="Q46" s="9">
        <f t="shared" si="21"/>
        <v>1.3015156059657544</v>
      </c>
      <c r="R46" s="9">
        <f t="shared" si="11"/>
        <v>6.143610711381938</v>
      </c>
      <c r="S46" s="6">
        <f t="shared" si="22"/>
        <v>2.5004678820851323E-2</v>
      </c>
      <c r="T46" s="6">
        <f t="shared" si="12"/>
        <v>2.1441232776626448E-2</v>
      </c>
      <c r="U46" s="6">
        <f t="shared" si="13"/>
        <v>0.63478739496253189</v>
      </c>
      <c r="V46" s="6">
        <f t="shared" si="14"/>
        <v>-0.18805223150293959</v>
      </c>
      <c r="W46" s="6">
        <f t="shared" si="15"/>
        <v>0.1361423403348761</v>
      </c>
      <c r="X46" s="6">
        <f t="shared" si="16"/>
        <v>-5.1909891168063445E-2</v>
      </c>
      <c r="Y46">
        <f t="shared" si="17"/>
        <v>0.63183379650985028</v>
      </c>
      <c r="AA46" s="43">
        <f t="shared" si="23"/>
        <v>29</v>
      </c>
      <c r="AB46" s="6">
        <f t="shared" si="24"/>
        <v>0.23863988164959221</v>
      </c>
      <c r="AC46" s="6">
        <f>VLOOKUP($C46,'hours (1)'!$A$19:$P$103,16)</f>
        <v>0.56215447999770085</v>
      </c>
      <c r="AD46" s="6">
        <f t="shared" si="25"/>
        <v>0.31700639593689356</v>
      </c>
    </row>
    <row r="47" spans="1:30" x14ac:dyDescent="0.25">
      <c r="A47" s="39">
        <f>'hours (1)'!$A47*'hours (1)'!$B47/'hours (1)'!$A$105</f>
        <v>1.0952227904653878E-2</v>
      </c>
      <c r="B47" s="9">
        <f>'hours (4)'!$E47</f>
        <v>34.194425019587612</v>
      </c>
      <c r="C47" s="26">
        <f t="shared" si="18"/>
        <v>36</v>
      </c>
      <c r="D47" s="25">
        <f t="shared" si="1"/>
        <v>1.1043050452949943</v>
      </c>
      <c r="E47" s="25">
        <f t="shared" si="19"/>
        <v>5.8949839381045336E-3</v>
      </c>
      <c r="F47" s="25">
        <f t="shared" si="2"/>
        <v>5.1773454986425793E-3</v>
      </c>
      <c r="G47" s="30">
        <f t="shared" si="3"/>
        <v>8.061010033771131E-6</v>
      </c>
      <c r="H47" s="9">
        <f>'hours (4)'!$K47</f>
        <v>29</v>
      </c>
      <c r="I47" s="7">
        <f t="shared" si="4"/>
        <v>0</v>
      </c>
      <c r="J47" s="9">
        <f t="shared" si="5"/>
        <v>0.30531454702445548</v>
      </c>
      <c r="K47" s="18">
        <f t="shared" si="20"/>
        <v>7.679906630601945E-3</v>
      </c>
      <c r="L47" s="19">
        <f t="shared" si="6"/>
        <v>5.6030625280751589E-3</v>
      </c>
      <c r="M47" s="19">
        <f t="shared" si="7"/>
        <v>6.6160839298152516E-2</v>
      </c>
      <c r="N47" s="19">
        <f t="shared" si="8"/>
        <v>3.7901864574403123E-2</v>
      </c>
      <c r="O47" s="19">
        <f t="shared" si="9"/>
        <v>-1.9973491746649863E-6</v>
      </c>
      <c r="P47" s="21">
        <f t="shared" si="10"/>
        <v>37.02695031960328</v>
      </c>
      <c r="Q47" s="9">
        <f t="shared" si="21"/>
        <v>1.2767913903311476</v>
      </c>
      <c r="R47" s="9">
        <f t="shared" si="11"/>
        <v>6.0849774296708183</v>
      </c>
      <c r="S47" s="6">
        <f t="shared" si="22"/>
        <v>2.524561749225053E-2</v>
      </c>
      <c r="T47" s="6">
        <f t="shared" si="12"/>
        <v>2.1682171448025655E-2</v>
      </c>
      <c r="U47" s="6">
        <f t="shared" si="13"/>
        <v>0.65126153228173322</v>
      </c>
      <c r="V47" s="6">
        <f t="shared" si="14"/>
        <v>-0.21622310846963594</v>
      </c>
      <c r="W47" s="6">
        <f t="shared" si="15"/>
        <v>0.1451339856963979</v>
      </c>
      <c r="X47" s="6">
        <f t="shared" si="16"/>
        <v>-7.1089122773238034E-2</v>
      </c>
      <c r="Y47">
        <f t="shared" si="17"/>
        <v>0.61976288188503736</v>
      </c>
      <c r="AA47" s="43">
        <f t="shared" si="23"/>
        <v>29</v>
      </c>
      <c r="AB47" s="6">
        <f t="shared" si="24"/>
        <v>0.25357181633918008</v>
      </c>
      <c r="AC47" s="6">
        <f>VLOOKUP($C47,'hours (1)'!$A$19:$P$103,16)</f>
        <v>0.72214478000759019</v>
      </c>
      <c r="AD47" s="6">
        <f t="shared" si="25"/>
        <v>0.33984760131439806</v>
      </c>
    </row>
    <row r="48" spans="1:30" x14ac:dyDescent="0.25">
      <c r="A48" s="39">
        <f>'hours (1)'!$A48*'hours (1)'!$B48/'hours (1)'!$A$105</f>
        <v>5.6166457956019758E-3</v>
      </c>
      <c r="B48" s="9">
        <f>'hours (4)'!$E48</f>
        <v>35.194425019587612</v>
      </c>
      <c r="C48" s="26">
        <f t="shared" si="18"/>
        <v>37</v>
      </c>
      <c r="D48" s="25">
        <f t="shared" si="1"/>
        <v>1.0744589629897241</v>
      </c>
      <c r="E48" s="25">
        <f t="shared" si="19"/>
        <v>5.732099762440367E-3</v>
      </c>
      <c r="F48" s="25">
        <f t="shared" si="2"/>
        <v>5.0338569564773858E-3</v>
      </c>
      <c r="G48" s="30">
        <f t="shared" si="3"/>
        <v>8.1455106499336363E-6</v>
      </c>
      <c r="H48" s="9">
        <f>'hours (4)'!$K48</f>
        <v>38.178942318390909</v>
      </c>
      <c r="I48" s="7">
        <f t="shared" si="4"/>
        <v>6.4000000032026785</v>
      </c>
      <c r="J48" s="9">
        <f t="shared" si="5"/>
        <v>0.32558570189788139</v>
      </c>
      <c r="K48" s="18">
        <f t="shared" si="20"/>
        <v>8.1898088879284285E-3</v>
      </c>
      <c r="L48" s="19">
        <f t="shared" si="6"/>
        <v>9.5067989123148455E-3</v>
      </c>
      <c r="M48" s="19">
        <f t="shared" si="7"/>
        <v>6.7283775756337608E-2</v>
      </c>
      <c r="N48" s="19">
        <f t="shared" si="8"/>
        <v>3.8299175940699315E-2</v>
      </c>
      <c r="O48" s="19">
        <f t="shared" si="9"/>
        <v>-9.8354132673367234E-6</v>
      </c>
      <c r="P48" s="21">
        <f t="shared" si="10"/>
        <v>36.292692035293967</v>
      </c>
      <c r="Q48" s="9">
        <f t="shared" si="21"/>
        <v>0.950594485636436</v>
      </c>
      <c r="R48" s="9">
        <f t="shared" si="11"/>
        <v>6.0243416267085959</v>
      </c>
      <c r="S48" s="6">
        <f t="shared" si="22"/>
        <v>2.5499718003604847E-2</v>
      </c>
      <c r="T48" s="6">
        <f t="shared" si="12"/>
        <v>2.2792992017831734E-2</v>
      </c>
      <c r="U48" s="6">
        <f t="shared" si="13"/>
        <v>0.57732430391016543</v>
      </c>
      <c r="V48" s="6">
        <f t="shared" si="14"/>
        <v>3.1366202765488904E-2</v>
      </c>
      <c r="W48" s="6">
        <f t="shared" si="15"/>
        <v>-0.12248496039299814</v>
      </c>
      <c r="X48" s="6">
        <f t="shared" si="16"/>
        <v>-9.1118757627509414E-2</v>
      </c>
      <c r="Y48">
        <f t="shared" si="17"/>
        <v>0.72914141244520148</v>
      </c>
      <c r="AA48" s="43">
        <f t="shared" si="23"/>
        <v>38</v>
      </c>
      <c r="AB48" s="6">
        <f t="shared" si="24"/>
        <v>0.25927301259314212</v>
      </c>
      <c r="AC48" s="6">
        <f>VLOOKUP($C48,'hours (1)'!$A$19:$P$103,16)</f>
        <v>0.74376864496543005</v>
      </c>
      <c r="AD48" s="6">
        <f t="shared" si="25"/>
        <v>0.34882979711171019</v>
      </c>
    </row>
    <row r="49" spans="1:30" x14ac:dyDescent="0.25">
      <c r="A49" s="39">
        <f>'hours (1)'!$A49*'hours (1)'!$B49/'hours (1)'!$A$105</f>
        <v>1.1700095927242521E-2</v>
      </c>
      <c r="B49" s="9">
        <f>'hours (4)'!$E49</f>
        <v>36.194425019587612</v>
      </c>
      <c r="C49" s="26">
        <f t="shared" si="18"/>
        <v>38</v>
      </c>
      <c r="D49" s="25">
        <f t="shared" si="1"/>
        <v>1.0461837271215735</v>
      </c>
      <c r="E49" s="25">
        <f t="shared" si="19"/>
        <v>5.5779769357621632E-3</v>
      </c>
      <c r="F49" s="25">
        <f t="shared" si="2"/>
        <v>4.8981089404824176E-3</v>
      </c>
      <c r="G49" s="30">
        <f t="shared" si="3"/>
        <v>8.2254528587074006E-6</v>
      </c>
      <c r="H49" s="9">
        <f>'hours (4)'!$K49</f>
        <v>39.178942318390909</v>
      </c>
      <c r="I49" s="7">
        <f t="shared" si="4"/>
        <v>6.4000000032026785</v>
      </c>
      <c r="J49" s="9">
        <f t="shared" si="5"/>
        <v>0.31693725886860014</v>
      </c>
      <c r="K49" s="18">
        <f t="shared" si="20"/>
        <v>7.9722652575568292E-3</v>
      </c>
      <c r="L49" s="19">
        <f t="shared" si="6"/>
        <v>8.8800447040072727E-3</v>
      </c>
      <c r="M49" s="19">
        <f t="shared" si="7"/>
        <v>6.7646196039794132E-2</v>
      </c>
      <c r="N49" s="19">
        <f t="shared" si="8"/>
        <v>3.8675054243545733E-2</v>
      </c>
      <c r="O49" s="19">
        <f t="shared" si="9"/>
        <v>-7.8993168697027993E-6</v>
      </c>
      <c r="P49" s="21">
        <f t="shared" si="10"/>
        <v>36.423880216836636</v>
      </c>
      <c r="Q49" s="9">
        <f t="shared" si="21"/>
        <v>0.92968002864485122</v>
      </c>
      <c r="R49" s="9">
        <f t="shared" si="11"/>
        <v>6.0352199808156648</v>
      </c>
      <c r="S49" s="6">
        <f t="shared" si="22"/>
        <v>2.5453755310785794E-2</v>
      </c>
      <c r="T49" s="6">
        <f t="shared" si="12"/>
        <v>2.2816115569449215E-2</v>
      </c>
      <c r="U49" s="6">
        <f t="shared" si="13"/>
        <v>0.57472052464518486</v>
      </c>
      <c r="V49" s="6">
        <f t="shared" si="14"/>
        <v>3.0553256978736777E-2</v>
      </c>
      <c r="W49" s="6">
        <f t="shared" si="15"/>
        <v>-0.1180638048183052</v>
      </c>
      <c r="X49" s="6">
        <f t="shared" si="16"/>
        <v>-8.7510547839568478E-2</v>
      </c>
      <c r="Y49">
        <f t="shared" si="17"/>
        <v>0.73405022366802075</v>
      </c>
      <c r="AA49" s="43">
        <f t="shared" si="23"/>
        <v>39</v>
      </c>
      <c r="AB49" s="6">
        <f t="shared" si="24"/>
        <v>0.27088794235373603</v>
      </c>
      <c r="AC49" s="6">
        <f>VLOOKUP($C49,'hours (1)'!$A$19:$P$103,16)</f>
        <v>0.72079676182207131</v>
      </c>
      <c r="AD49" s="6">
        <f t="shared" si="25"/>
        <v>0.36656385311027018</v>
      </c>
    </row>
    <row r="50" spans="1:30" x14ac:dyDescent="0.25">
      <c r="A50" s="39">
        <f>'hours (1)'!$A50*'hours (1)'!$B50/'hours (1)'!$A$105</f>
        <v>1.5382824247279752E-3</v>
      </c>
      <c r="B50" s="9">
        <f>'hours (4)'!$E50</f>
        <v>37.194425019587612</v>
      </c>
      <c r="C50" s="26">
        <f t="shared" si="18"/>
        <v>39</v>
      </c>
      <c r="D50" s="25">
        <f t="shared" si="1"/>
        <v>1.0193585033492256</v>
      </c>
      <c r="E50" s="25">
        <f t="shared" si="19"/>
        <v>5.4319269225939684E-3</v>
      </c>
      <c r="F50" s="25">
        <f t="shared" si="2"/>
        <v>4.7694914400137024E-3</v>
      </c>
      <c r="G50" s="30">
        <f t="shared" si="3"/>
        <v>8.3011958962690725E-6</v>
      </c>
      <c r="H50" s="9">
        <f>'hours (4)'!$K50</f>
        <v>40.178942318390909</v>
      </c>
      <c r="I50" s="7">
        <f t="shared" si="4"/>
        <v>6.4000000032026785</v>
      </c>
      <c r="J50" s="9">
        <f t="shared" si="5"/>
        <v>0.30873660189142876</v>
      </c>
      <c r="K50" s="18">
        <f t="shared" si="20"/>
        <v>7.7659852734942754E-3</v>
      </c>
      <c r="L50" s="19">
        <f t="shared" si="6"/>
        <v>8.2852039332595717E-3</v>
      </c>
      <c r="M50" s="19">
        <f t="shared" si="7"/>
        <v>6.7989415865448058E-2</v>
      </c>
      <c r="N50" s="19">
        <f t="shared" si="8"/>
        <v>3.9031188566675132E-2</v>
      </c>
      <c r="O50" s="19">
        <f t="shared" si="9"/>
        <v>-6.3280408080512718E-6</v>
      </c>
      <c r="P50" s="21">
        <f t="shared" si="10"/>
        <v>36.546578675162579</v>
      </c>
      <c r="Q50" s="9">
        <f t="shared" si="21"/>
        <v>0.90959533940828241</v>
      </c>
      <c r="R50" s="9">
        <f t="shared" si="11"/>
        <v>6.0453766363364476</v>
      </c>
      <c r="S50" s="6">
        <f t="shared" si="22"/>
        <v>2.5410991221804465E-2</v>
      </c>
      <c r="T50" s="6">
        <f t="shared" si="12"/>
        <v>2.2838998796926219E-2</v>
      </c>
      <c r="U50" s="6">
        <f t="shared" si="13"/>
        <v>0.57228202000059836</v>
      </c>
      <c r="V50" s="6">
        <f t="shared" si="14"/>
        <v>2.978138932657149E-2</v>
      </c>
      <c r="W50" s="6">
        <f t="shared" si="15"/>
        <v>-0.11392897149955167</v>
      </c>
      <c r="X50" s="6">
        <f t="shared" si="16"/>
        <v>-8.414758217298017E-2</v>
      </c>
      <c r="Y50">
        <f t="shared" si="17"/>
        <v>0.73874729161233477</v>
      </c>
      <c r="AA50" s="43">
        <f t="shared" si="23"/>
        <v>40</v>
      </c>
      <c r="AB50" s="6">
        <f t="shared" si="24"/>
        <v>0.27238203651428378</v>
      </c>
      <c r="AC50" s="6">
        <f>VLOOKUP($C50,'hours (1)'!$A$19:$P$103,16)</f>
        <v>0.54418855453806381</v>
      </c>
      <c r="AD50" s="6">
        <f t="shared" si="25"/>
        <v>0.36828614212894367</v>
      </c>
    </row>
    <row r="51" spans="1:30" x14ac:dyDescent="0.25">
      <c r="A51" s="39">
        <f>'hours (1)'!$A51*'hours (1)'!$B51/'hours (1)'!$A$105</f>
        <v>0.52299315453736406</v>
      </c>
      <c r="B51" s="9">
        <f>'hours (4)'!$E51</f>
        <v>38.194425019587612</v>
      </c>
      <c r="C51" s="26">
        <f t="shared" si="18"/>
        <v>40</v>
      </c>
      <c r="D51" s="25">
        <f t="shared" si="1"/>
        <v>0.99387454076549486</v>
      </c>
      <c r="E51" s="25">
        <f t="shared" si="19"/>
        <v>5.2933315081355164E-3</v>
      </c>
      <c r="F51" s="25">
        <f t="shared" si="2"/>
        <v>4.6474569126197579E-3</v>
      </c>
      <c r="G51" s="30">
        <f t="shared" si="3"/>
        <v>8.3730622111837271E-6</v>
      </c>
      <c r="H51" s="9">
        <f>'hours (4)'!$K51</f>
        <v>41.178942318390909</v>
      </c>
      <c r="I51" s="7">
        <f t="shared" si="4"/>
        <v>6.4000000032026785</v>
      </c>
      <c r="J51" s="9">
        <f t="shared" si="5"/>
        <v>0.30094981540633792</v>
      </c>
      <c r="K51" s="18">
        <f t="shared" si="20"/>
        <v>7.5701158210205914E-3</v>
      </c>
      <c r="L51" s="19">
        <f t="shared" si="6"/>
        <v>7.7198988705160232E-3</v>
      </c>
      <c r="M51" s="19">
        <f t="shared" si="7"/>
        <v>6.8314921415112015E-2</v>
      </c>
      <c r="N51" s="19">
        <f t="shared" si="8"/>
        <v>3.9369095023055307E-2</v>
      </c>
      <c r="O51" s="19">
        <f t="shared" si="9"/>
        <v>-5.052910112324227E-6</v>
      </c>
      <c r="P51" s="21">
        <f t="shared" si="10"/>
        <v>36.661585908932146</v>
      </c>
      <c r="Q51" s="9">
        <f t="shared" si="21"/>
        <v>0.89029935799392135</v>
      </c>
      <c r="R51" s="9">
        <f t="shared" si="11"/>
        <v>6.0548811638984414</v>
      </c>
      <c r="S51" s="6">
        <f t="shared" si="22"/>
        <v>2.5371102830949618E-2</v>
      </c>
      <c r="T51" s="6">
        <f t="shared" si="12"/>
        <v>2.2861569329979417E-2</v>
      </c>
      <c r="U51" s="6">
        <f t="shared" si="13"/>
        <v>0.56999390792312854</v>
      </c>
      <c r="V51" s="6">
        <f t="shared" si="14"/>
        <v>2.9047562804010673E-2</v>
      </c>
      <c r="W51" s="6">
        <f t="shared" si="15"/>
        <v>-0.11005321868959725</v>
      </c>
      <c r="X51" s="6">
        <f t="shared" si="16"/>
        <v>-8.1005655885586572E-2</v>
      </c>
      <c r="Y51">
        <f t="shared" si="17"/>
        <v>0.74324463775119509</v>
      </c>
      <c r="AA51" s="43">
        <f t="shared" si="23"/>
        <v>41</v>
      </c>
      <c r="AB51" s="6">
        <f t="shared" si="24"/>
        <v>0.7695758640473449</v>
      </c>
      <c r="AC51" s="6">
        <f>VLOOKUP($C51,'hours (1)'!$A$19:$P$103,16)</f>
        <v>0.45564382461173775</v>
      </c>
      <c r="AD51" s="6">
        <f t="shared" si="25"/>
        <v>0.84816307874139496</v>
      </c>
    </row>
    <row r="52" spans="1:30" x14ac:dyDescent="0.25">
      <c r="A52" s="39">
        <f>'hours (1)'!$A52*'hours (1)'!$B52/'hours (1)'!$A$105</f>
        <v>7.016047166535285E-4</v>
      </c>
      <c r="B52" s="9">
        <f>'hours (4)'!$E52</f>
        <v>39.194425019587612</v>
      </c>
      <c r="C52" s="26">
        <f t="shared" si="18"/>
        <v>41</v>
      </c>
      <c r="D52" s="25">
        <f t="shared" si="1"/>
        <v>0.96963369830779989</v>
      </c>
      <c r="E52" s="25">
        <f t="shared" si="19"/>
        <v>5.1616340426071262E-3</v>
      </c>
      <c r="F52" s="25">
        <f t="shared" si="2"/>
        <v>4.5315124860063859E-3</v>
      </c>
      <c r="G52" s="30">
        <f t="shared" si="3"/>
        <v>8.4413420566793993E-6</v>
      </c>
      <c r="H52" s="9">
        <f>'hours (4)'!$K52</f>
        <v>42.178942318390909</v>
      </c>
      <c r="I52" s="7">
        <f t="shared" si="4"/>
        <v>6.4000000032026785</v>
      </c>
      <c r="J52" s="9">
        <f t="shared" si="5"/>
        <v>0.29354632605050107</v>
      </c>
      <c r="K52" s="18">
        <f t="shared" si="20"/>
        <v>7.3838878553124003E-3</v>
      </c>
      <c r="L52" s="19">
        <f t="shared" si="6"/>
        <v>7.1819823398395904E-3</v>
      </c>
      <c r="M52" s="19">
        <f t="shared" si="7"/>
        <v>6.8624049370095447E-2</v>
      </c>
      <c r="N52" s="19">
        <f t="shared" si="8"/>
        <v>3.9690138347191636E-2</v>
      </c>
      <c r="O52" s="19">
        <f t="shared" si="9"/>
        <v>-4.0187568425276154E-6</v>
      </c>
      <c r="P52" s="21">
        <f t="shared" si="10"/>
        <v>36.769603422133599</v>
      </c>
      <c r="Q52" s="9">
        <f t="shared" si="21"/>
        <v>0.87175261874931553</v>
      </c>
      <c r="R52" s="9">
        <f t="shared" si="11"/>
        <v>6.0637944739357383</v>
      </c>
      <c r="S52" s="6">
        <f t="shared" si="22"/>
        <v>2.5333809267242539E-2</v>
      </c>
      <c r="T52" s="6">
        <f t="shared" si="12"/>
        <v>2.2883773073768265E-2</v>
      </c>
      <c r="U52" s="6">
        <f t="shared" si="13"/>
        <v>0.56784299819542805</v>
      </c>
      <c r="V52" s="6">
        <f t="shared" si="14"/>
        <v>2.8349032602598023E-2</v>
      </c>
      <c r="W52" s="6">
        <f t="shared" si="15"/>
        <v>-0.1064126800011423</v>
      </c>
      <c r="X52" s="6">
        <f t="shared" si="16"/>
        <v>-7.806364739854435E-2</v>
      </c>
      <c r="Y52">
        <f t="shared" si="17"/>
        <v>0.74755358605004463</v>
      </c>
      <c r="AA52" s="43">
        <f t="shared" si="23"/>
        <v>42</v>
      </c>
      <c r="AB52" s="6">
        <f t="shared" si="24"/>
        <v>0.77022896365737847</v>
      </c>
      <c r="AC52" s="6">
        <f>VLOOKUP($C52,'hours (1)'!$A$19:$P$103,16)</f>
        <v>0.33583847472936851</v>
      </c>
      <c r="AD52" s="6">
        <f t="shared" si="25"/>
        <v>0.84862768872102357</v>
      </c>
    </row>
    <row r="53" spans="1:30" x14ac:dyDescent="0.25">
      <c r="A53" s="39">
        <f>'hours (1)'!$A53*'hours (1)'!$B53/'hours (1)'!$A$105</f>
        <v>5.3536305067851701E-3</v>
      </c>
      <c r="B53" s="9">
        <f>'hours (4)'!$E53</f>
        <v>40.194425019587612</v>
      </c>
      <c r="C53" s="26">
        <f t="shared" si="18"/>
        <v>42</v>
      </c>
      <c r="D53" s="25">
        <f t="shared" si="1"/>
        <v>0.94654718168142371</v>
      </c>
      <c r="E53" s="25">
        <f t="shared" si="19"/>
        <v>5.0363319622605497E-3</v>
      </c>
      <c r="F53" s="25">
        <f t="shared" si="2"/>
        <v>4.4212132998645891E-3</v>
      </c>
      <c r="G53" s="30">
        <f t="shared" si="3"/>
        <v>8.5062974116545365E-6</v>
      </c>
      <c r="H53" s="9">
        <f>'hours (4)'!$K53</f>
        <v>43.178942318390909</v>
      </c>
      <c r="I53" s="7">
        <f t="shared" si="4"/>
        <v>6.4000000032026785</v>
      </c>
      <c r="J53" s="9">
        <f t="shared" si="5"/>
        <v>0.28649850069144073</v>
      </c>
      <c r="K53" s="18">
        <f t="shared" si="20"/>
        <v>7.2066062903366028E-3</v>
      </c>
      <c r="L53" s="19">
        <f t="shared" si="6"/>
        <v>6.6695104277764983E-3</v>
      </c>
      <c r="M53" s="19">
        <f t="shared" si="7"/>
        <v>6.8918005246182704E-2</v>
      </c>
      <c r="N53" s="19">
        <f t="shared" si="8"/>
        <v>3.9995550331215456E-2</v>
      </c>
      <c r="O53" s="19">
        <f t="shared" si="9"/>
        <v>-3.1810732226134064E-6</v>
      </c>
      <c r="P53" s="21">
        <f t="shared" si="10"/>
        <v>36.871249988673966</v>
      </c>
      <c r="Q53" s="9">
        <f t="shared" si="21"/>
        <v>0.85391739604908412</v>
      </c>
      <c r="R53" s="9">
        <f t="shared" si="11"/>
        <v>6.0721701218488571</v>
      </c>
      <c r="S53" s="6">
        <f t="shared" si="22"/>
        <v>2.5298865077198016E-2</v>
      </c>
      <c r="T53" s="6">
        <f t="shared" si="12"/>
        <v>2.2905570342914853E-2</v>
      </c>
      <c r="U53" s="6">
        <f t="shared" si="13"/>
        <v>0.56581756495194857</v>
      </c>
      <c r="V53" s="6">
        <f t="shared" si="14"/>
        <v>2.7683311792567906E-2</v>
      </c>
      <c r="W53" s="6">
        <f t="shared" si="15"/>
        <v>-0.1029863548149836</v>
      </c>
      <c r="X53" s="6">
        <f t="shared" si="16"/>
        <v>-7.5303043022415653E-2</v>
      </c>
      <c r="Y53">
        <f t="shared" si="17"/>
        <v>0.75168477571273107</v>
      </c>
      <c r="AA53" s="43">
        <f t="shared" si="23"/>
        <v>43</v>
      </c>
      <c r="AB53" s="6">
        <f t="shared" si="24"/>
        <v>0.77511051564635403</v>
      </c>
      <c r="AC53" s="6">
        <f>VLOOKUP($C53,'hours (1)'!$A$19:$P$103,16)</f>
        <v>0.4412273518835641</v>
      </c>
      <c r="AD53" s="6">
        <f t="shared" si="25"/>
        <v>0.85319014805389048</v>
      </c>
    </row>
    <row r="54" spans="1:30" x14ac:dyDescent="0.25">
      <c r="A54" s="39">
        <f>'hours (1)'!$A54*'hours (1)'!$B54/'hours (1)'!$A$105</f>
        <v>3.1454107671163561E-3</v>
      </c>
      <c r="B54" s="9">
        <f>'hours (4)'!$E54</f>
        <v>41.194425019587612</v>
      </c>
      <c r="C54" s="26">
        <f t="shared" si="18"/>
        <v>43</v>
      </c>
      <c r="D54" s="25">
        <f t="shared" si="1"/>
        <v>0.92453445652604171</v>
      </c>
      <c r="E54" s="25">
        <f t="shared" si="19"/>
        <v>4.9169703749927605E-3</v>
      </c>
      <c r="F54" s="25">
        <f t="shared" si="2"/>
        <v>4.3161567977687996E-3</v>
      </c>
      <c r="G54" s="30">
        <f t="shared" si="3"/>
        <v>8.5681653421876358E-6</v>
      </c>
      <c r="H54" s="9">
        <f>'hours (4)'!$K54</f>
        <v>44.178942318390909</v>
      </c>
      <c r="I54" s="7">
        <f t="shared" si="4"/>
        <v>6.4000000032026785</v>
      </c>
      <c r="J54" s="9">
        <f t="shared" si="5"/>
        <v>0.27978130113401306</v>
      </c>
      <c r="K54" s="18">
        <f t="shared" si="20"/>
        <v>7.0376413133221502E-3</v>
      </c>
      <c r="L54" s="19">
        <f t="shared" si="6"/>
        <v>6.1807189803058937E-3</v>
      </c>
      <c r="M54" s="19">
        <f t="shared" si="7"/>
        <v>6.9197879095150239E-2</v>
      </c>
      <c r="N54" s="19">
        <f t="shared" si="8"/>
        <v>4.0286445630283468E-2</v>
      </c>
      <c r="O54" s="19">
        <f t="shared" si="9"/>
        <v>-2.5038106917230074E-6</v>
      </c>
      <c r="P54" s="21">
        <f t="shared" si="10"/>
        <v>36.96707347847321</v>
      </c>
      <c r="Q54" s="9">
        <f t="shared" si="21"/>
        <v>0.83675777505167825</v>
      </c>
      <c r="R54" s="9">
        <f t="shared" si="11"/>
        <v>6.0800553844906062</v>
      </c>
      <c r="S54" s="6">
        <f t="shared" si="22"/>
        <v>2.5266054817577561E-2</v>
      </c>
      <c r="T54" s="6">
        <f t="shared" si="12"/>
        <v>2.2926932831863953E-2</v>
      </c>
      <c r="U54" s="6">
        <f t="shared" si="13"/>
        <v>0.56390715382101186</v>
      </c>
      <c r="V54" s="6">
        <f t="shared" si="14"/>
        <v>2.7048141730959929E-2</v>
      </c>
      <c r="W54" s="6">
        <f t="shared" si="15"/>
        <v>-9.9755688564040004E-2</v>
      </c>
      <c r="X54" s="6">
        <f t="shared" si="16"/>
        <v>-7.2707546833080117E-2</v>
      </c>
      <c r="Y54">
        <f t="shared" si="17"/>
        <v>0.75564818416098145</v>
      </c>
      <c r="AA54" s="43">
        <f t="shared" si="23"/>
        <v>44</v>
      </c>
      <c r="AB54" s="6">
        <f t="shared" si="24"/>
        <v>0.77792093281159957</v>
      </c>
      <c r="AC54" s="6">
        <f>VLOOKUP($C54,'hours (1)'!$A$19:$P$103,16)</f>
        <v>0.44351573965069491</v>
      </c>
      <c r="AD54" s="6">
        <f t="shared" si="25"/>
        <v>0.85583047973591697</v>
      </c>
    </row>
    <row r="55" spans="1:30" x14ac:dyDescent="0.25">
      <c r="A55" s="39">
        <f>'hours (1)'!$A55*'hours (1)'!$B55/'hours (1)'!$A$105</f>
        <v>3.4277420472443752E-3</v>
      </c>
      <c r="B55" s="9">
        <f>'hours (4)'!$E55</f>
        <v>42.194425019587612</v>
      </c>
      <c r="C55" s="26">
        <f t="shared" si="18"/>
        <v>44</v>
      </c>
      <c r="D55" s="25">
        <f t="shared" si="1"/>
        <v>0.90352230978681358</v>
      </c>
      <c r="E55" s="25">
        <f t="shared" si="19"/>
        <v>4.8031365378307595E-3</v>
      </c>
      <c r="F55" s="25">
        <f t="shared" si="2"/>
        <v>4.2159778146346151E-3</v>
      </c>
      <c r="G55" s="30">
        <f t="shared" si="3"/>
        <v>8.6271608945407009E-6</v>
      </c>
      <c r="H55" s="9">
        <f>'hours (4)'!$K55</f>
        <v>45.178942318390909</v>
      </c>
      <c r="I55" s="7">
        <f t="shared" si="4"/>
        <v>6.4000000032026785</v>
      </c>
      <c r="J55" s="9">
        <f t="shared" si="5"/>
        <v>0.27337198638944993</v>
      </c>
      <c r="K55" s="18">
        <f t="shared" si="20"/>
        <v>6.8764208956116164E-3</v>
      </c>
      <c r="L55" s="19">
        <f t="shared" si="6"/>
        <v>5.7140032881367597E-3</v>
      </c>
      <c r="M55" s="19">
        <f t="shared" si="7"/>
        <v>6.9464659003749998E-2</v>
      </c>
      <c r="N55" s="19">
        <f t="shared" si="8"/>
        <v>4.0563835365119455E-2</v>
      </c>
      <c r="O55" s="19">
        <f t="shared" si="9"/>
        <v>-1.9576675630156304E-6</v>
      </c>
      <c r="P55" s="21">
        <f t="shared" si="10"/>
        <v>37.057560716237809</v>
      </c>
      <c r="Q55" s="9">
        <f t="shared" si="21"/>
        <v>0.82023966951419436</v>
      </c>
      <c r="R55" s="9">
        <f t="shared" si="11"/>
        <v>6.0874921532793627</v>
      </c>
      <c r="S55" s="6">
        <f t="shared" si="22"/>
        <v>2.5235188608118693E-2</v>
      </c>
      <c r="T55" s="6">
        <f t="shared" si="12"/>
        <v>2.2947841229460496E-2</v>
      </c>
      <c r="U55" s="6">
        <f t="shared" si="13"/>
        <v>0.56210241792932092</v>
      </c>
      <c r="V55" s="6">
        <f t="shared" si="14"/>
        <v>2.6441466453387626E-2</v>
      </c>
      <c r="W55" s="6">
        <f t="shared" si="15"/>
        <v>-9.6704224904354583E-2</v>
      </c>
      <c r="X55" s="6">
        <f t="shared" si="16"/>
        <v>-7.0262758450966981E-2</v>
      </c>
      <c r="Y55">
        <f t="shared" si="17"/>
        <v>0.75945315630871302</v>
      </c>
      <c r="AA55" s="43">
        <f t="shared" si="23"/>
        <v>45</v>
      </c>
      <c r="AB55" s="6">
        <f t="shared" si="24"/>
        <v>0.78092315316611449</v>
      </c>
      <c r="AC55" s="6">
        <f>VLOOKUP($C55,'hours (1)'!$A$19:$P$103,16)</f>
        <v>0.33487011502192815</v>
      </c>
      <c r="AD55" s="6">
        <f t="shared" si="25"/>
        <v>0.85796007767160831</v>
      </c>
    </row>
    <row r="56" spans="1:30" x14ac:dyDescent="0.25">
      <c r="A56" s="39">
        <f>'hours (1)'!$A56*'hours (1)'!$B56/'hours (1)'!$A$105</f>
        <v>5.105026209392189E-2</v>
      </c>
      <c r="B56" s="9">
        <f>'hours (4)'!$E56</f>
        <v>43.194425019587612</v>
      </c>
      <c r="C56" s="26">
        <f t="shared" si="18"/>
        <v>45</v>
      </c>
      <c r="D56" s="25">
        <f t="shared" si="1"/>
        <v>0.88344403623599543</v>
      </c>
      <c r="E56" s="25">
        <f t="shared" si="19"/>
        <v>4.6944550848645687E-3</v>
      </c>
      <c r="F56" s="25">
        <f t="shared" si="2"/>
        <v>4.1203443332950051E-3</v>
      </c>
      <c r="G56" s="30">
        <f t="shared" si="3"/>
        <v>8.6834795941178369E-6</v>
      </c>
      <c r="H56" s="9">
        <f>'hours (4)'!$K56</f>
        <v>46.178942318390909</v>
      </c>
      <c r="I56" s="7">
        <f t="shared" si="4"/>
        <v>6.4000000032026785</v>
      </c>
      <c r="J56" s="9">
        <f t="shared" si="5"/>
        <v>0.26724985503198345</v>
      </c>
      <c r="K56" s="18">
        <f t="shared" si="20"/>
        <v>6.7224243118790472E-3</v>
      </c>
      <c r="L56" s="19">
        <f t="shared" si="6"/>
        <v>5.2679004667709056E-3</v>
      </c>
      <c r="M56" s="19">
        <f t="shared" si="7"/>
        <v>6.9719242742346296E-2</v>
      </c>
      <c r="N56" s="19">
        <f t="shared" si="8"/>
        <v>4.0828638871806128E-2</v>
      </c>
      <c r="O56" s="19">
        <f t="shared" si="9"/>
        <v>-1.5187488935086702E-6</v>
      </c>
      <c r="P56" s="21">
        <f t="shared" si="10"/>
        <v>37.143145743259616</v>
      </c>
      <c r="Q56" s="9">
        <f t="shared" si="21"/>
        <v>0.80433080271020507</v>
      </c>
      <c r="R56" s="9">
        <f t="shared" si="11"/>
        <v>6.0945176792966658</v>
      </c>
      <c r="S56" s="6">
        <f t="shared" si="22"/>
        <v>2.5206098451448843E-2</v>
      </c>
      <c r="T56" s="6">
        <f t="shared" si="12"/>
        <v>2.2968283332817033E-2</v>
      </c>
      <c r="U56" s="6">
        <f t="shared" si="13"/>
        <v>0.56039497802021454</v>
      </c>
      <c r="V56" s="6">
        <f t="shared" si="14"/>
        <v>2.5861410437502987E-2</v>
      </c>
      <c r="W56" s="6">
        <f t="shared" si="15"/>
        <v>-9.381731578532794E-2</v>
      </c>
      <c r="X56" s="6">
        <f t="shared" si="16"/>
        <v>-6.795590534782503E-2</v>
      </c>
      <c r="Y56">
        <f t="shared" si="17"/>
        <v>0.76310843738350531</v>
      </c>
      <c r="AA56" s="43">
        <f t="shared" si="23"/>
        <v>46</v>
      </c>
      <c r="AB56" s="6">
        <f t="shared" si="24"/>
        <v>0.82476878579445512</v>
      </c>
      <c r="AC56" s="6">
        <f>VLOOKUP($C56,'hours (1)'!$A$19:$P$103,16)</f>
        <v>0.36391779712251804</v>
      </c>
      <c r="AD56" s="6">
        <f t="shared" si="25"/>
        <v>0.89175942362678173</v>
      </c>
    </row>
    <row r="57" spans="1:30" x14ac:dyDescent="0.25">
      <c r="A57" s="39">
        <f>'hours (1)'!$A57*'hours (1)'!$B57/'hours (1)'!$A$105</f>
        <v>1.7471562507340025E-3</v>
      </c>
      <c r="B57" s="9">
        <f>'hours (4)'!$E57</f>
        <v>44.194425019587612</v>
      </c>
      <c r="C57" s="26">
        <f t="shared" si="18"/>
        <v>46</v>
      </c>
      <c r="D57" s="25">
        <f t="shared" si="1"/>
        <v>0.86423873110043037</v>
      </c>
      <c r="E57" s="25">
        <f t="shared" si="19"/>
        <v>4.5905838892707392E-3</v>
      </c>
      <c r="F57" s="25">
        <f t="shared" si="2"/>
        <v>4.0289538062135578E-3</v>
      </c>
      <c r="G57" s="30">
        <f t="shared" si="3"/>
        <v>8.7372996116137844E-6</v>
      </c>
      <c r="H57" s="9">
        <f>'hours (4)'!$K57</f>
        <v>47.178942318390909</v>
      </c>
      <c r="I57" s="7">
        <f t="shared" si="4"/>
        <v>6.4000000032026785</v>
      </c>
      <c r="J57" s="9">
        <f t="shared" si="5"/>
        <v>0.26139602148193053</v>
      </c>
      <c r="K57" s="18">
        <f t="shared" si="20"/>
        <v>6.5751765127367075E-3</v>
      </c>
      <c r="L57" s="19">
        <f t="shared" si="6"/>
        <v>4.8410741231997428E-3</v>
      </c>
      <c r="M57" s="19">
        <f t="shared" si="7"/>
        <v>6.9962447852474741E-2</v>
      </c>
      <c r="N57" s="19">
        <f t="shared" si="8"/>
        <v>4.1081693886745631E-2</v>
      </c>
      <c r="O57" s="19">
        <f t="shared" si="9"/>
        <v>-1.1675117827791848E-6</v>
      </c>
      <c r="P57" s="21">
        <f t="shared" si="10"/>
        <v>37.224216775287871</v>
      </c>
      <c r="Q57" s="9">
        <f t="shared" si="21"/>
        <v>0.78900066313647377</v>
      </c>
      <c r="R57" s="9">
        <f t="shared" si="11"/>
        <v>6.1011651981640256</v>
      </c>
      <c r="S57" s="6">
        <f t="shared" si="22"/>
        <v>2.5178635170323631E-2</v>
      </c>
      <c r="T57" s="6">
        <f t="shared" si="12"/>
        <v>2.2988252550358912E-2</v>
      </c>
      <c r="U57" s="6">
        <f t="shared" si="13"/>
        <v>0.55877730277049975</v>
      </c>
      <c r="V57" s="6">
        <f t="shared" si="14"/>
        <v>2.5306259231323645E-2</v>
      </c>
      <c r="W57" s="6">
        <f t="shared" si="15"/>
        <v>-9.1081878459056936E-2</v>
      </c>
      <c r="X57" s="6">
        <f t="shared" si="16"/>
        <v>-6.5775619227733326E-2</v>
      </c>
      <c r="Y57">
        <f t="shared" si="17"/>
        <v>0.76662220739212905</v>
      </c>
      <c r="AA57" s="43">
        <f t="shared" si="23"/>
        <v>47</v>
      </c>
      <c r="AB57" s="6">
        <f t="shared" si="24"/>
        <v>0.82624076874014407</v>
      </c>
      <c r="AC57" s="6">
        <f>VLOOKUP($C57,'hours (1)'!$A$19:$P$103,16)</f>
        <v>0.43607191944070439</v>
      </c>
      <c r="AD57" s="6">
        <f t="shared" si="25"/>
        <v>0.89311911255313237</v>
      </c>
    </row>
    <row r="58" spans="1:30" x14ac:dyDescent="0.25">
      <c r="A58" s="39">
        <f>'hours (1)'!$A58*'hours (1)'!$B58/'hours (1)'!$A$105</f>
        <v>1.3322371754345547E-3</v>
      </c>
      <c r="B58" s="9">
        <f>'hours (4)'!$E58</f>
        <v>45.194425019587612</v>
      </c>
      <c r="C58" s="26">
        <f t="shared" si="18"/>
        <v>47</v>
      </c>
      <c r="D58" s="25">
        <f t="shared" si="1"/>
        <v>0.84585067299191052</v>
      </c>
      <c r="E58" s="25">
        <f t="shared" si="19"/>
        <v>4.4912104632436325E-3</v>
      </c>
      <c r="F58" s="25">
        <f t="shared" si="2"/>
        <v>3.9415299564217101E-3</v>
      </c>
      <c r="G58" s="30">
        <f t="shared" si="3"/>
        <v>8.7887836469467582E-6</v>
      </c>
      <c r="H58" s="9">
        <f>'hours (4)'!$K58</f>
        <v>48.178942318390909</v>
      </c>
      <c r="I58" s="7">
        <f t="shared" si="4"/>
        <v>6.4000000032026785</v>
      </c>
      <c r="J58" s="9">
        <f t="shared" si="5"/>
        <v>0.25579322111346409</v>
      </c>
      <c r="K58" s="18">
        <f t="shared" si="20"/>
        <v>6.4342432224003057E-3</v>
      </c>
      <c r="L58" s="19">
        <f t="shared" si="6"/>
        <v>4.4323009702776639E-3</v>
      </c>
      <c r="M58" s="19">
        <f t="shared" si="7"/>
        <v>7.0195020412043951E-2</v>
      </c>
      <c r="N58" s="19">
        <f t="shared" si="8"/>
        <v>4.1323765404676895E-2</v>
      </c>
      <c r="O58" s="19">
        <f t="shared" si="9"/>
        <v>-8.8793092867245349E-7</v>
      </c>
      <c r="P58" s="21">
        <f t="shared" si="10"/>
        <v>37.301122089832916</v>
      </c>
      <c r="Q58" s="9">
        <f t="shared" si="21"/>
        <v>0.77422044351509767</v>
      </c>
      <c r="R58" s="9">
        <f t="shared" si="11"/>
        <v>6.1074644566982883</v>
      </c>
      <c r="S58" s="6">
        <f t="shared" si="22"/>
        <v>2.5152665844820021E-2</v>
      </c>
      <c r="T58" s="6">
        <f t="shared" si="12"/>
        <v>2.3007746709825343E-2</v>
      </c>
      <c r="U58" s="6">
        <f t="shared" si="13"/>
        <v>0.55724260607343012</v>
      </c>
      <c r="V58" s="6">
        <f t="shared" si="14"/>
        <v>2.4774442524845345E-2</v>
      </c>
      <c r="W58" s="6">
        <f t="shared" si="15"/>
        <v>-8.848619077890027E-2</v>
      </c>
      <c r="X58" s="6">
        <f t="shared" si="16"/>
        <v>-6.3711748254054956E-2</v>
      </c>
      <c r="Y58">
        <f t="shared" si="17"/>
        <v>0.77000211592698209</v>
      </c>
      <c r="AA58" s="43">
        <f t="shared" si="23"/>
        <v>48</v>
      </c>
      <c r="AB58" s="6">
        <f t="shared" si="24"/>
        <v>0.8273421554885485</v>
      </c>
      <c r="AC58" s="6">
        <f>VLOOKUP($C58,'hours (1)'!$A$19:$P$103,16)</f>
        <v>0.41751106861548043</v>
      </c>
      <c r="AD58" s="6">
        <f t="shared" si="25"/>
        <v>0.89409317432914526</v>
      </c>
    </row>
    <row r="59" spans="1:30" x14ac:dyDescent="0.25">
      <c r="A59" s="39">
        <f>'hours (1)'!$A59*'hours (1)'!$B59/'hours (1)'!$A$105</f>
        <v>9.8217405278856577E-3</v>
      </c>
      <c r="B59" s="9">
        <f>'hours (4)'!$E59</f>
        <v>46.194425019587612</v>
      </c>
      <c r="C59" s="26">
        <f t="shared" si="18"/>
        <v>48</v>
      </c>
      <c r="D59" s="25">
        <f t="shared" si="1"/>
        <v>0.82822878397124577</v>
      </c>
      <c r="E59" s="25">
        <f t="shared" si="19"/>
        <v>4.3960488159744526E-3</v>
      </c>
      <c r="F59" s="25">
        <f t="shared" si="2"/>
        <v>3.8578199863779868E-3</v>
      </c>
      <c r="G59" s="30">
        <f t="shared" si="3"/>
        <v>8.8380805729653943E-6</v>
      </c>
      <c r="H59" s="9">
        <f>'hours (4)'!$K59</f>
        <v>49.178942318390909</v>
      </c>
      <c r="I59" s="7">
        <f t="shared" si="4"/>
        <v>6.4000000032026785</v>
      </c>
      <c r="J59" s="9">
        <f t="shared" si="5"/>
        <v>0.25042563994388412</v>
      </c>
      <c r="K59" s="18">
        <f t="shared" si="20"/>
        <v>6.299226654679249E-3</v>
      </c>
      <c r="L59" s="19">
        <f t="shared" si="6"/>
        <v>4.0404591060526629E-3</v>
      </c>
      <c r="M59" s="19">
        <f t="shared" si="7"/>
        <v>7.0417642676074158E-2</v>
      </c>
      <c r="N59" s="19">
        <f t="shared" si="8"/>
        <v>4.1555553407180923E-2</v>
      </c>
      <c r="O59" s="19">
        <f t="shared" si="9"/>
        <v>-6.6683515960452855E-7</v>
      </c>
      <c r="P59" s="21">
        <f t="shared" si="10"/>
        <v>37.374175029861021</v>
      </c>
      <c r="Q59" s="9">
        <f t="shared" si="21"/>
        <v>0.75996296927037843</v>
      </c>
      <c r="R59" s="9">
        <f t="shared" si="11"/>
        <v>6.113442158870976</v>
      </c>
      <c r="S59" s="6">
        <f t="shared" si="22"/>
        <v>2.5128071656903919E-2</v>
      </c>
      <c r="T59" s="6">
        <f t="shared" si="12"/>
        <v>2.302676710640169E-2</v>
      </c>
      <c r="U59" s="6">
        <f t="shared" si="13"/>
        <v>0.55578475861388899</v>
      </c>
      <c r="V59" s="6">
        <f t="shared" si="14"/>
        <v>2.4264519312797338E-2</v>
      </c>
      <c r="W59" s="6">
        <f t="shared" si="15"/>
        <v>-8.6019717913881341E-2</v>
      </c>
      <c r="X59" s="6">
        <f t="shared" si="16"/>
        <v>-6.1755198601084103E-2</v>
      </c>
      <c r="Y59">
        <f t="shared" si="17"/>
        <v>0.77325531643685175</v>
      </c>
      <c r="AA59" s="43">
        <f t="shared" si="23"/>
        <v>49</v>
      </c>
      <c r="AB59" s="6">
        <f t="shared" si="24"/>
        <v>0.83531245334074444</v>
      </c>
      <c r="AC59" s="6">
        <f>VLOOKUP($C59,'hours (1)'!$A$19:$P$103,16)</f>
        <v>0.30584328509077524</v>
      </c>
      <c r="AD59" s="6">
        <f t="shared" si="25"/>
        <v>0.89925676921510733</v>
      </c>
    </row>
    <row r="60" spans="1:30" x14ac:dyDescent="0.25">
      <c r="A60" s="39">
        <f>'hours (1)'!$A60*'hours (1)'!$B60/'hours (1)'!$A$105</f>
        <v>7.0432109545263272E-4</v>
      </c>
      <c r="B60" s="9">
        <f>'hours (4)'!$E60</f>
        <v>47.194425019587612</v>
      </c>
      <c r="C60" s="26">
        <f t="shared" si="18"/>
        <v>49</v>
      </c>
      <c r="D60" s="25">
        <f t="shared" si="1"/>
        <v>0.81132615572693456</v>
      </c>
      <c r="E60" s="25">
        <f t="shared" si="19"/>
        <v>4.3048367030886396E-3</v>
      </c>
      <c r="F60" s="25">
        <f t="shared" si="2"/>
        <v>3.7775921353206737E-3</v>
      </c>
      <c r="G60" s="30">
        <f t="shared" si="3"/>
        <v>8.8853268739274027E-6</v>
      </c>
      <c r="H60" s="9">
        <f>'hours (4)'!$K60</f>
        <v>50.178942318390909</v>
      </c>
      <c r="I60" s="7">
        <f t="shared" si="4"/>
        <v>6.4000000032026785</v>
      </c>
      <c r="J60" s="9">
        <f t="shared" si="5"/>
        <v>0.24527876536059451</v>
      </c>
      <c r="K60" s="18">
        <f t="shared" si="20"/>
        <v>6.1697617581510256E-3</v>
      </c>
      <c r="L60" s="19">
        <f t="shared" si="6"/>
        <v>3.664517721297722E-3</v>
      </c>
      <c r="M60" s="19">
        <f t="shared" si="7"/>
        <v>7.0630939757731617E-2</v>
      </c>
      <c r="N60" s="19">
        <f t="shared" si="8"/>
        <v>4.1777699626228085E-2</v>
      </c>
      <c r="O60" s="19">
        <f t="shared" si="9"/>
        <v>-4.9337743943111967E-7</v>
      </c>
      <c r="P60" s="21">
        <f t="shared" si="10"/>
        <v>37.443658274530442</v>
      </c>
      <c r="Q60" s="9">
        <f t="shared" si="21"/>
        <v>0.74620262095096213</v>
      </c>
      <c r="R60" s="9">
        <f t="shared" si="11"/>
        <v>6.1191223451186563</v>
      </c>
      <c r="S60" s="6">
        <f t="shared" si="22"/>
        <v>2.5104746068852858E-2</v>
      </c>
      <c r="T60" s="6">
        <f t="shared" si="12"/>
        <v>2.3045317740794085E-2</v>
      </c>
      <c r="U60" s="6">
        <f t="shared" si="13"/>
        <v>0.5543982115188445</v>
      </c>
      <c r="V60" s="6">
        <f t="shared" si="14"/>
        <v>2.3775164853237024E-2</v>
      </c>
      <c r="W60" s="6">
        <f t="shared" si="15"/>
        <v>-8.3672964981880496E-2</v>
      </c>
      <c r="X60" s="6">
        <f t="shared" si="16"/>
        <v>-5.9897800128643507E-2</v>
      </c>
      <c r="Y60">
        <f t="shared" si="17"/>
        <v>0.7763884993883976</v>
      </c>
      <c r="AA60" s="43">
        <f t="shared" si="23"/>
        <v>50</v>
      </c>
      <c r="AB60" s="6">
        <f t="shared" si="24"/>
        <v>0.83587365782201017</v>
      </c>
      <c r="AC60" s="6">
        <f>VLOOKUP($C60,'hours (1)'!$A$19:$P$103,16)</f>
        <v>0.44004271579192589</v>
      </c>
      <c r="AD60" s="6">
        <f t="shared" si="25"/>
        <v>0.89977988114843777</v>
      </c>
    </row>
    <row r="61" spans="1:30" x14ac:dyDescent="0.25">
      <c r="A61" s="39">
        <f>'hours (1)'!$A61*'hours (1)'!$B61/'hours (1)'!$A$105</f>
        <v>9.3259725650200853E-2</v>
      </c>
      <c r="B61" s="9">
        <f>'hours (4)'!$E61</f>
        <v>48.194425019587612</v>
      </c>
      <c r="C61" s="26">
        <f t="shared" si="18"/>
        <v>50</v>
      </c>
      <c r="D61" s="25">
        <f t="shared" si="1"/>
        <v>0.79509963261239591</v>
      </c>
      <c r="E61" s="25">
        <f t="shared" si="19"/>
        <v>4.2173332117916356E-3</v>
      </c>
      <c r="F61" s="25">
        <f t="shared" si="2"/>
        <v>3.7006335353790294E-3</v>
      </c>
      <c r="G61" s="30">
        <f t="shared" si="3"/>
        <v>8.9306479080388663E-6</v>
      </c>
      <c r="H61" s="9">
        <f>'hours (4)'!$K61</f>
        <v>51.178942318390909</v>
      </c>
      <c r="I61" s="7">
        <f t="shared" si="4"/>
        <v>6.4000000032026785</v>
      </c>
      <c r="J61" s="9">
        <f t="shared" si="5"/>
        <v>0.24033925491425906</v>
      </c>
      <c r="K61" s="18">
        <f t="shared" si="20"/>
        <v>6.0455129157737228E-3</v>
      </c>
      <c r="L61" s="19">
        <f t="shared" si="6"/>
        <v>3.303528036208106E-3</v>
      </c>
      <c r="M61" s="19">
        <f t="shared" si="7"/>
        <v>7.0835485487398334E-2</v>
      </c>
      <c r="N61" s="19">
        <f t="shared" si="8"/>
        <v>4.1990793480480612E-2</v>
      </c>
      <c r="O61" s="19">
        <f t="shared" si="9"/>
        <v>-3.5860961816736037E-7</v>
      </c>
      <c r="P61" s="21">
        <f t="shared" si="10"/>
        <v>37.509827499030948</v>
      </c>
      <c r="Q61" s="9">
        <f t="shared" si="21"/>
        <v>0.73291525381039324</v>
      </c>
      <c r="R61" s="9">
        <f t="shared" si="11"/>
        <v>6.1245267163292665</v>
      </c>
      <c r="S61" s="6">
        <f t="shared" si="22"/>
        <v>2.5082593276777931E-2</v>
      </c>
      <c r="T61" s="6">
        <f t="shared" si="12"/>
        <v>2.3063404708174261E-2</v>
      </c>
      <c r="U61" s="6">
        <f t="shared" si="13"/>
        <v>0.55307793024041041</v>
      </c>
      <c r="V61" s="6">
        <f t="shared" si="14"/>
        <v>2.3305159173402458E-2</v>
      </c>
      <c r="W61" s="6">
        <f t="shared" si="15"/>
        <v>-8.1437351178364856E-2</v>
      </c>
      <c r="X61" s="6">
        <f t="shared" si="16"/>
        <v>-5.8132192004962384E-2</v>
      </c>
      <c r="Y61">
        <f t="shared" si="17"/>
        <v>0.77940792395944691</v>
      </c>
      <c r="AA61" s="43">
        <f t="shared" si="23"/>
        <v>51</v>
      </c>
      <c r="AB61" s="6">
        <f t="shared" si="24"/>
        <v>0.90885999310800292</v>
      </c>
      <c r="AC61" s="6">
        <f>VLOOKUP($C61,'hours (1)'!$A$19:$P$103,16)</f>
        <v>0.3032477864986225</v>
      </c>
      <c r="AD61" s="6">
        <f t="shared" si="25"/>
        <v>0.94666314715591282</v>
      </c>
    </row>
    <row r="62" spans="1:30" x14ac:dyDescent="0.25">
      <c r="A62" s="39">
        <f>'hours (1)'!$A62*'hours (1)'!$B62/'hours (1)'!$A$105</f>
        <v>1.8249113161539524E-4</v>
      </c>
      <c r="B62" s="9">
        <f>'hours (4)'!$E62</f>
        <v>49.194425019587612</v>
      </c>
      <c r="C62" s="26">
        <f t="shared" si="18"/>
        <v>51</v>
      </c>
      <c r="D62" s="25">
        <f t="shared" si="1"/>
        <v>0.77950944373764308</v>
      </c>
      <c r="E62" s="25">
        <f t="shared" si="19"/>
        <v>4.1333166348679496E-3</v>
      </c>
      <c r="F62" s="25">
        <f t="shared" si="2"/>
        <v>3.6267483246595119E-3</v>
      </c>
      <c r="G62" s="30">
        <f t="shared" si="3"/>
        <v>8.9741590186605652E-6</v>
      </c>
      <c r="H62" s="9">
        <f>'hours (4)'!$K62</f>
        <v>52.178942318390909</v>
      </c>
      <c r="I62" s="7">
        <f t="shared" si="4"/>
        <v>6.4000000032026785</v>
      </c>
      <c r="J62" s="9">
        <f t="shared" si="5"/>
        <v>0.23559482067690801</v>
      </c>
      <c r="K62" s="18">
        <f t="shared" si="20"/>
        <v>5.9261710360205494E-3</v>
      </c>
      <c r="L62" s="19">
        <f t="shared" si="6"/>
        <v>2.9566152983083183E-3</v>
      </c>
      <c r="M62" s="19">
        <f t="shared" si="7"/>
        <v>7.1031807565374722E-2</v>
      </c>
      <c r="N62" s="19">
        <f t="shared" si="8"/>
        <v>4.2195377300046216E-2</v>
      </c>
      <c r="O62" s="19">
        <f t="shared" si="9"/>
        <v>-2.5513980780877965E-7</v>
      </c>
      <c r="P62" s="21">
        <f t="shared" si="10"/>
        <v>37.572914522948111</v>
      </c>
      <c r="Q62" s="9">
        <f t="shared" si="21"/>
        <v>0.72007811683268286</v>
      </c>
      <c r="R62" s="9">
        <f t="shared" si="11"/>
        <v>6.12967491168562</v>
      </c>
      <c r="S62" s="6">
        <f t="shared" si="22"/>
        <v>2.5061526892003326E-2</v>
      </c>
      <c r="T62" s="6">
        <f t="shared" si="12"/>
        <v>2.3081035707418728E-2</v>
      </c>
      <c r="U62" s="6">
        <f t="shared" si="13"/>
        <v>0.551819337135804</v>
      </c>
      <c r="V62" s="6">
        <f t="shared" si="14"/>
        <v>2.2853376912796791E-2</v>
      </c>
      <c r="W62" s="6">
        <f t="shared" si="15"/>
        <v>-7.9305101820672921E-2</v>
      </c>
      <c r="X62" s="6">
        <f t="shared" si="16"/>
        <v>-5.6451724907875873E-2</v>
      </c>
      <c r="Y62">
        <f t="shared" si="17"/>
        <v>0.78231944805659059</v>
      </c>
      <c r="AA62" s="43">
        <f t="shared" si="23"/>
        <v>52</v>
      </c>
      <c r="AB62" s="6">
        <f t="shared" si="24"/>
        <v>0.90900031164272632</v>
      </c>
      <c r="AC62" s="6">
        <f>VLOOKUP($C62,'hours (1)'!$A$19:$P$103,16)</f>
        <v>0.26537239064064738</v>
      </c>
      <c r="AD62" s="6">
        <f t="shared" si="25"/>
        <v>0.94674202398413854</v>
      </c>
    </row>
    <row r="63" spans="1:30" x14ac:dyDescent="0.25">
      <c r="A63" s="39">
        <f>'hours (1)'!$A63*'hours (1)'!$B63/'hours (1)'!$A$105</f>
        <v>1.2452954545526156E-2</v>
      </c>
      <c r="B63" s="9">
        <f>'hours (4)'!$E63</f>
        <v>50.194425019587612</v>
      </c>
      <c r="C63" s="26">
        <f t="shared" si="18"/>
        <v>52</v>
      </c>
      <c r="D63" s="25">
        <f t="shared" si="1"/>
        <v>0.76451887751191916</v>
      </c>
      <c r="E63" s="25">
        <f t="shared" si="19"/>
        <v>4.0525825940063076E-3</v>
      </c>
      <c r="F63" s="25">
        <f t="shared" si="2"/>
        <v>3.5557559820711096E-3</v>
      </c>
      <c r="G63" s="30">
        <f t="shared" si="3"/>
        <v>9.0159665149318252E-6</v>
      </c>
      <c r="H63" s="9">
        <f>'hours (4)'!$K63</f>
        <v>53.178942318390909</v>
      </c>
      <c r="I63" s="7">
        <f t="shared" si="4"/>
        <v>6.4000000032026785</v>
      </c>
      <c r="J63" s="9">
        <f t="shared" si="5"/>
        <v>0.23103412705200754</v>
      </c>
      <c r="K63" s="18">
        <f t="shared" si="20"/>
        <v>5.8114509823861196E-3</v>
      </c>
      <c r="L63" s="19">
        <f t="shared" si="6"/>
        <v>2.6229716993570601E-3</v>
      </c>
      <c r="M63" s="19">
        <f t="shared" si="7"/>
        <v>7.1220392105605768E-2</v>
      </c>
      <c r="N63" s="19">
        <f t="shared" si="8"/>
        <v>4.23919509372492E-2</v>
      </c>
      <c r="O63" s="19">
        <f t="shared" si="9"/>
        <v>-1.7685524011934461E-7</v>
      </c>
      <c r="P63" s="21">
        <f t="shared" si="10"/>
        <v>37.633130028534474</v>
      </c>
      <c r="Q63" s="9">
        <f t="shared" si="21"/>
        <v>0.70766977280628962</v>
      </c>
      <c r="R63" s="9">
        <f t="shared" si="11"/>
        <v>6.1345847478484208</v>
      </c>
      <c r="S63" s="6">
        <f t="shared" si="22"/>
        <v>2.5041468812102723E-2</v>
      </c>
      <c r="T63" s="6">
        <f t="shared" si="12"/>
        <v>2.3098219646600172E-2</v>
      </c>
      <c r="U63" s="6">
        <f t="shared" si="13"/>
        <v>0.55061826146081205</v>
      </c>
      <c r="V63" s="6">
        <f t="shared" si="14"/>
        <v>2.2418778325451021E-2</v>
      </c>
      <c r="W63" s="6">
        <f t="shared" si="15"/>
        <v>-7.72691553945168E-2</v>
      </c>
      <c r="X63" s="6">
        <f t="shared" si="16"/>
        <v>-5.4850377069065696E-2</v>
      </c>
      <c r="Y63">
        <f t="shared" si="17"/>
        <v>0.78512855655551117</v>
      </c>
      <c r="AA63" s="43">
        <f t="shared" si="23"/>
        <v>53</v>
      </c>
      <c r="AB63" s="6">
        <f t="shared" si="24"/>
        <v>0.91841046524194703</v>
      </c>
      <c r="AC63" s="6">
        <f>VLOOKUP($C63,'hours (1)'!$A$19:$P$103,16)</f>
        <v>0.46102045026124311</v>
      </c>
      <c r="AD63" s="6">
        <f t="shared" si="25"/>
        <v>0.95593160188499315</v>
      </c>
    </row>
    <row r="64" spans="1:30" x14ac:dyDescent="0.25">
      <c r="A64" s="39">
        <f>'hours (1)'!$A64*'hours (1)'!$B64/'hours (1)'!$A$105</f>
        <v>7.3997926365189078E-4</v>
      </c>
      <c r="B64" s="9">
        <f>'hours (4)'!$E64</f>
        <v>51.194425019587612</v>
      </c>
      <c r="C64" s="26">
        <f t="shared" si="18"/>
        <v>53</v>
      </c>
      <c r="D64" s="25">
        <f t="shared" si="1"/>
        <v>0.75009399303056212</v>
      </c>
      <c r="E64" s="25">
        <f t="shared" si="19"/>
        <v>3.9749423789880826E-3</v>
      </c>
      <c r="F64" s="25">
        <f t="shared" si="2"/>
        <v>3.4874898540705281E-3</v>
      </c>
      <c r="G64" s="30">
        <f t="shared" si="3"/>
        <v>9.0561685393724685E-6</v>
      </c>
      <c r="H64" s="9">
        <f>'hours (4)'!$K64</f>
        <v>54.178942318390909</v>
      </c>
      <c r="I64" s="7">
        <f t="shared" si="4"/>
        <v>6.4000000032026785</v>
      </c>
      <c r="J64" s="9">
        <f t="shared" si="5"/>
        <v>0.22664670024512454</v>
      </c>
      <c r="K64" s="18">
        <f t="shared" si="20"/>
        <v>5.7010892962042863E-3</v>
      </c>
      <c r="L64" s="19">
        <f t="shared" si="6"/>
        <v>2.3018500904020689E-3</v>
      </c>
      <c r="M64" s="19">
        <f t="shared" si="7"/>
        <v>7.1401687652768497E-2</v>
      </c>
      <c r="N64" s="19">
        <f t="shared" si="8"/>
        <v>4.258097584598676E-2</v>
      </c>
      <c r="O64" s="19">
        <f t="shared" si="9"/>
        <v>-1.1869726138091785E-7</v>
      </c>
      <c r="P64" s="21">
        <f t="shared" si="10"/>
        <v>37.690665915827502</v>
      </c>
      <c r="Q64" s="9">
        <f t="shared" si="21"/>
        <v>0.69567002054658966</v>
      </c>
      <c r="R64" s="9">
        <f t="shared" si="11"/>
        <v>6.1392724256077367</v>
      </c>
      <c r="S64" s="6">
        <f t="shared" si="22"/>
        <v>2.5022348250532355E-2</v>
      </c>
      <c r="T64" s="6">
        <f t="shared" si="12"/>
        <v>2.3114966325738985E-2</v>
      </c>
      <c r="U64" s="6">
        <f t="shared" si="13"/>
        <v>0.5494708957011295</v>
      </c>
      <c r="V64" s="6">
        <f t="shared" si="14"/>
        <v>2.200040128989451E-2</v>
      </c>
      <c r="W64" s="6">
        <f t="shared" si="15"/>
        <v>-7.5323083219284867E-2</v>
      </c>
      <c r="X64" s="6">
        <f t="shared" si="16"/>
        <v>-5.3322681929390429E-2</v>
      </c>
      <c r="Y64">
        <f t="shared" si="17"/>
        <v>0.78784038773578025</v>
      </c>
      <c r="AA64" s="43">
        <f t="shared" si="23"/>
        <v>54</v>
      </c>
      <c r="AB64" s="6">
        <f t="shared" si="24"/>
        <v>0.91896015355261462</v>
      </c>
      <c r="AC64" s="6">
        <f>VLOOKUP($C64,'hours (1)'!$A$19:$P$103,16)</f>
        <v>0.187520309125004</v>
      </c>
      <c r="AD64" s="6">
        <f t="shared" si="25"/>
        <v>0.95614994699632128</v>
      </c>
    </row>
    <row r="65" spans="1:30" x14ac:dyDescent="0.25">
      <c r="A65" s="39">
        <f>'hours (1)'!$A65*'hours (1)'!$B65/'hours (1)'!$A$105</f>
        <v>9.2957276418990117E-4</v>
      </c>
      <c r="B65" s="9">
        <f>'hours (4)'!$E65</f>
        <v>52.194425019587612</v>
      </c>
      <c r="C65" s="26">
        <f t="shared" si="18"/>
        <v>54</v>
      </c>
      <c r="D65" s="25">
        <f t="shared" si="1"/>
        <v>0.73620336352999616</v>
      </c>
      <c r="E65" s="25">
        <f t="shared" si="19"/>
        <v>3.9002214743128244E-3</v>
      </c>
      <c r="F65" s="25">
        <f t="shared" si="2"/>
        <v>3.4217958480048556E-3</v>
      </c>
      <c r="G65" s="30">
        <f t="shared" si="3"/>
        <v>9.0948558373752743E-6</v>
      </c>
      <c r="H65" s="9">
        <f>'hours (4)'!$K65</f>
        <v>55.178942318390909</v>
      </c>
      <c r="I65" s="7">
        <f t="shared" si="4"/>
        <v>6.4000000032026785</v>
      </c>
      <c r="J65" s="9">
        <f t="shared" si="5"/>
        <v>0.22242284787146027</v>
      </c>
      <c r="K65" s="18">
        <f t="shared" si="20"/>
        <v>5.5948421744495876E-3</v>
      </c>
      <c r="L65" s="19">
        <f t="shared" si="6"/>
        <v>1.9925583919732925E-3</v>
      </c>
      <c r="M65" s="19">
        <f t="shared" si="7"/>
        <v>7.157610874257947E-2</v>
      </c>
      <c r="N65" s="19">
        <f t="shared" si="8"/>
        <v>4.2762878699786573E-2</v>
      </c>
      <c r="O65" s="19">
        <f t="shared" si="9"/>
        <v>-7.6478015045844394E-8</v>
      </c>
      <c r="P65" s="21">
        <f t="shared" si="10"/>
        <v>37.745697349923333</v>
      </c>
      <c r="Q65" s="9">
        <f t="shared" si="21"/>
        <v>0.68405981999663756</v>
      </c>
      <c r="R65" s="9">
        <f t="shared" si="11"/>
        <v>6.1437527090470798</v>
      </c>
      <c r="S65" s="6">
        <f t="shared" si="22"/>
        <v>2.5004100899476828E-2</v>
      </c>
      <c r="T65" s="6">
        <f t="shared" si="12"/>
        <v>2.313128618174929E-2</v>
      </c>
      <c r="U65" s="6">
        <f t="shared" si="13"/>
        <v>0.54837375733752602</v>
      </c>
      <c r="V65" s="6">
        <f t="shared" si="14"/>
        <v>2.159735419757397E-2</v>
      </c>
      <c r="W65" s="6">
        <f t="shared" si="15"/>
        <v>-7.346101977263092E-2</v>
      </c>
      <c r="X65" s="6">
        <f t="shared" si="16"/>
        <v>-5.1863665575057026E-2</v>
      </c>
      <c r="Y65">
        <f t="shared" si="17"/>
        <v>0.79045975793167567</v>
      </c>
      <c r="AA65" s="43">
        <f t="shared" si="23"/>
        <v>55</v>
      </c>
      <c r="AB65" s="6">
        <f t="shared" si="24"/>
        <v>0.91963915568204457</v>
      </c>
      <c r="AC65" s="6">
        <f>VLOOKUP($C65,'hours (1)'!$A$19:$P$103,16)</f>
        <v>0.25213222401674296</v>
      </c>
      <c r="AD65" s="6">
        <f t="shared" si="25"/>
        <v>0.95651258903848735</v>
      </c>
    </row>
    <row r="66" spans="1:30" x14ac:dyDescent="0.25">
      <c r="A66" s="39">
        <f>'hours (1)'!$A66*'hours (1)'!$B66/'hours (1)'!$A$105</f>
        <v>2.5405581773995402E-2</v>
      </c>
      <c r="B66" s="9">
        <f>'hours (4)'!$E66</f>
        <v>53.194425019587612</v>
      </c>
      <c r="C66" s="26">
        <f t="shared" si="18"/>
        <v>55</v>
      </c>
      <c r="D66" s="25">
        <f t="shared" si="1"/>
        <v>0.7228178478294508</v>
      </c>
      <c r="E66" s="25">
        <f t="shared" si="19"/>
        <v>3.8282582490342938E-3</v>
      </c>
      <c r="F66" s="25">
        <f t="shared" si="2"/>
        <v>3.3585312704773789E-3</v>
      </c>
      <c r="G66" s="30">
        <f t="shared" si="3"/>
        <v>9.1321124412940601E-6</v>
      </c>
      <c r="H66" s="9">
        <f>'hours (4)'!$K66</f>
        <v>56.178942318390909</v>
      </c>
      <c r="I66" s="7">
        <f t="shared" si="4"/>
        <v>6.4000000032026785</v>
      </c>
      <c r="J66" s="9">
        <f t="shared" si="5"/>
        <v>0.21835358739996194</v>
      </c>
      <c r="K66" s="18">
        <f t="shared" si="20"/>
        <v>5.4924836698146831E-3</v>
      </c>
      <c r="L66" s="19">
        <f t="shared" si="6"/>
        <v>1.6944546113233372E-3</v>
      </c>
      <c r="M66" s="19">
        <f t="shared" si="7"/>
        <v>7.1744039064787379E-2</v>
      </c>
      <c r="N66" s="19">
        <f t="shared" si="8"/>
        <v>4.2938054608303758E-2</v>
      </c>
      <c r="O66" s="19">
        <f t="shared" si="9"/>
        <v>-4.6730598196598194E-8</v>
      </c>
      <c r="P66" s="21">
        <f t="shared" si="10"/>
        <v>37.798384546306956</v>
      </c>
      <c r="Q66" s="9">
        <f t="shared" si="21"/>
        <v>0.67282122066461836</v>
      </c>
      <c r="R66" s="9">
        <f t="shared" si="11"/>
        <v>6.1480390813906638</v>
      </c>
      <c r="S66" s="6">
        <f t="shared" si="22"/>
        <v>2.4986668205059494E-2</v>
      </c>
      <c r="T66" s="6">
        <f t="shared" si="12"/>
        <v>2.3147190083580304E-2</v>
      </c>
      <c r="U66" s="6">
        <f t="shared" si="13"/>
        <v>0.54732365528282279</v>
      </c>
      <c r="V66" s="6">
        <f t="shared" si="14"/>
        <v>2.1208809609067798E-2</v>
      </c>
      <c r="W66" s="6">
        <f t="shared" si="15"/>
        <v>-7.1677602055647036E-2</v>
      </c>
      <c r="X66" s="6">
        <f t="shared" si="16"/>
        <v>-5.0468792446579355E-2</v>
      </c>
      <c r="Y66">
        <f t="shared" si="17"/>
        <v>0.79299118445356476</v>
      </c>
      <c r="AA66" s="43">
        <f t="shared" si="23"/>
        <v>56</v>
      </c>
      <c r="AB66" s="6">
        <f t="shared" si="24"/>
        <v>0.93789166121793821</v>
      </c>
      <c r="AC66" s="6">
        <f>VLOOKUP($C66,'hours (1)'!$A$19:$P$103,16)</f>
        <v>0.29727298917413836</v>
      </c>
      <c r="AD66" s="6">
        <f t="shared" si="25"/>
        <v>0.9680062028259182</v>
      </c>
    </row>
    <row r="67" spans="1:30" x14ac:dyDescent="0.25">
      <c r="A67" s="39">
        <f>'hours (1)'!$A67*'hours (1)'!$B67/'hours (1)'!$A$105</f>
        <v>2.5752398627161503E-3</v>
      </c>
      <c r="B67" s="9">
        <f>'hours (4)'!$E67</f>
        <v>54.194425019587612</v>
      </c>
      <c r="C67" s="26">
        <f t="shared" si="18"/>
        <v>56</v>
      </c>
      <c r="D67" s="25">
        <f t="shared" si="1"/>
        <v>0.70991038626106773</v>
      </c>
      <c r="E67" s="25">
        <f t="shared" si="19"/>
        <v>3.7589027890942797E-3</v>
      </c>
      <c r="F67" s="25">
        <f t="shared" si="2"/>
        <v>3.2975637922973092E-3</v>
      </c>
      <c r="G67" s="30">
        <f t="shared" si="3"/>
        <v>9.1680162799863423E-6</v>
      </c>
      <c r="H67" s="9">
        <f>'hours (4)'!$K67</f>
        <v>57.178942318390909</v>
      </c>
      <c r="I67" s="7">
        <f t="shared" si="4"/>
        <v>6.4000000032026785</v>
      </c>
      <c r="J67" s="9">
        <f t="shared" si="5"/>
        <v>0.21443058232094195</v>
      </c>
      <c r="K67" s="18">
        <f t="shared" si="20"/>
        <v>5.3938040850655244E-3</v>
      </c>
      <c r="L67" s="19">
        <f t="shared" si="6"/>
        <v>1.4069423911578227E-3</v>
      </c>
      <c r="M67" s="19">
        <f t="shared" si="7"/>
        <v>7.1905834279632E-2</v>
      </c>
      <c r="N67" s="19">
        <f t="shared" si="8"/>
        <v>4.3106869983314457E-2</v>
      </c>
      <c r="O67" s="19">
        <f t="shared" si="9"/>
        <v>-2.6586195564504145E-8</v>
      </c>
      <c r="P67" s="21">
        <f t="shared" si="10"/>
        <v>37.848874332490738</v>
      </c>
      <c r="Q67" s="9">
        <f t="shared" si="21"/>
        <v>0.66193729365849263</v>
      </c>
      <c r="R67" s="9">
        <f t="shared" si="11"/>
        <v>6.1521438809971549</v>
      </c>
      <c r="S67" s="6">
        <f t="shared" si="22"/>
        <v>2.496999673771419E-2</v>
      </c>
      <c r="T67" s="6">
        <f t="shared" si="12"/>
        <v>2.3162689167960781E-2</v>
      </c>
      <c r="U67" s="6">
        <f t="shared" si="13"/>
        <v>0.54631766034652407</v>
      </c>
      <c r="V67" s="6">
        <f t="shared" si="14"/>
        <v>2.0833998583091505E-2</v>
      </c>
      <c r="W67" s="6">
        <f t="shared" si="15"/>
        <v>-6.9967916655387333E-2</v>
      </c>
      <c r="X67" s="6">
        <f t="shared" si="16"/>
        <v>-4.9133918072295855E-2</v>
      </c>
      <c r="Y67">
        <f t="shared" si="17"/>
        <v>0.79543890685535545</v>
      </c>
      <c r="AA67" s="43">
        <f t="shared" si="23"/>
        <v>57</v>
      </c>
      <c r="AB67" s="6">
        <f t="shared" si="24"/>
        <v>0.9397118993161474</v>
      </c>
      <c r="AC67" s="6">
        <f>VLOOKUP($C67,'hours (1)'!$A$19:$P$103,16)</f>
        <v>0.23099471418976511</v>
      </c>
      <c r="AD67" s="6">
        <f t="shared" si="25"/>
        <v>0.96889685658034619</v>
      </c>
    </row>
    <row r="68" spans="1:30" x14ac:dyDescent="0.25">
      <c r="A68" s="39">
        <f>'hours (1)'!$A68*'hours (1)'!$B68/'hours (1)'!$A$105</f>
        <v>3.1776867947257284E-4</v>
      </c>
      <c r="B68" s="9">
        <f>'hours (4)'!$E68</f>
        <v>55.194425019587612</v>
      </c>
      <c r="C68" s="26">
        <f t="shared" si="18"/>
        <v>57</v>
      </c>
      <c r="D68" s="25">
        <f t="shared" si="1"/>
        <v>0.69745581808104906</v>
      </c>
      <c r="E68" s="25">
        <f t="shared" si="19"/>
        <v>3.6920158543930219E-3</v>
      </c>
      <c r="F68" s="25">
        <f t="shared" si="2"/>
        <v>3.2387705242065247E-3</v>
      </c>
      <c r="G68" s="30">
        <f t="shared" si="3"/>
        <v>9.2026397231192394E-6</v>
      </c>
      <c r="H68" s="9">
        <f>'hours (4)'!$K68</f>
        <v>58.178942318390909</v>
      </c>
      <c r="I68" s="7">
        <f t="shared" si="4"/>
        <v>6.4000000032026785</v>
      </c>
      <c r="J68" s="9">
        <f t="shared" si="5"/>
        <v>0.21064608508159172</v>
      </c>
      <c r="K68" s="18">
        <f t="shared" si="20"/>
        <v>5.2986085376366876E-3</v>
      </c>
      <c r="L68" s="19">
        <f t="shared" si="6"/>
        <v>1.1294670248590821E-3</v>
      </c>
      <c r="M68" s="19">
        <f t="shared" si="7"/>
        <v>7.2061824531264432E-2</v>
      </c>
      <c r="N68" s="19">
        <f t="shared" si="8"/>
        <v>4.3269665097974391E-2</v>
      </c>
      <c r="O68" s="19">
        <f t="shared" si="9"/>
        <v>-1.3673043683382069E-8</v>
      </c>
      <c r="P68" s="21">
        <f t="shared" si="10"/>
        <v>37.897301517967115</v>
      </c>
      <c r="Q68" s="9">
        <f t="shared" si="21"/>
        <v>0.6513920674351521</v>
      </c>
      <c r="R68" s="9">
        <f t="shared" si="11"/>
        <v>6.1560784203880248</v>
      </c>
      <c r="S68" s="6">
        <f t="shared" si="22"/>
        <v>2.4954037643458823E-2</v>
      </c>
      <c r="T68" s="6">
        <f t="shared" si="12"/>
        <v>2.3177794708051338E-2</v>
      </c>
      <c r="U68" s="6">
        <f t="shared" si="13"/>
        <v>0.54535307918108711</v>
      </c>
      <c r="V68" s="6">
        <f t="shared" si="14"/>
        <v>2.0472205596492182E-2</v>
      </c>
      <c r="W68" s="6">
        <f t="shared" si="15"/>
        <v>-6.8327453385282663E-2</v>
      </c>
      <c r="X68" s="6">
        <f t="shared" si="16"/>
        <v>-4.7855247788790523E-2</v>
      </c>
      <c r="Y68">
        <f t="shared" si="17"/>
        <v>0.79780690663589249</v>
      </c>
      <c r="AA68" s="43">
        <f t="shared" si="23"/>
        <v>58</v>
      </c>
      <c r="AB68" s="6">
        <f t="shared" si="24"/>
        <v>0.93993292727774602</v>
      </c>
      <c r="AC68" s="6">
        <f>VLOOKUP($C68,'hours (1)'!$A$19:$P$103,16)</f>
        <v>0.48320716927308266</v>
      </c>
      <c r="AD68" s="6">
        <f t="shared" si="25"/>
        <v>0.96912309129621022</v>
      </c>
    </row>
    <row r="69" spans="1:30" x14ac:dyDescent="0.25">
      <c r="A69" s="39">
        <f>'hours (1)'!$A69*'hours (1)'!$B69/'hours (1)'!$A$105</f>
        <v>9.4208780201180179E-4</v>
      </c>
      <c r="B69" s="9">
        <f>'hours (4)'!$E69</f>
        <v>56.194425019587612</v>
      </c>
      <c r="C69" s="26">
        <f t="shared" si="18"/>
        <v>58</v>
      </c>
      <c r="D69" s="25">
        <f t="shared" si="1"/>
        <v>0.68543071776930686</v>
      </c>
      <c r="E69" s="25">
        <f t="shared" si="19"/>
        <v>3.6274679453205038E-3</v>
      </c>
      <c r="F69" s="25">
        <f t="shared" si="2"/>
        <v>3.182037189792394E-3</v>
      </c>
      <c r="G69" s="30">
        <f t="shared" si="3"/>
        <v>9.2360500682423235E-6</v>
      </c>
      <c r="H69" s="9">
        <f>'hours (4)'!$K69</f>
        <v>59.178942318390909</v>
      </c>
      <c r="I69" s="7">
        <f t="shared" si="4"/>
        <v>6.4000000032026785</v>
      </c>
      <c r="J69" s="9">
        <f t="shared" si="5"/>
        <v>0.20699288596655932</v>
      </c>
      <c r="K69" s="18">
        <f t="shared" si="20"/>
        <v>5.2067156737693162E-3</v>
      </c>
      <c r="L69" s="19">
        <f t="shared" si="6"/>
        <v>8.6151188213570706E-4</v>
      </c>
      <c r="M69" s="19">
        <f t="shared" si="7"/>
        <v>7.2212316695496159E-2</v>
      </c>
      <c r="N69" s="19">
        <f t="shared" si="8"/>
        <v>4.3426756376974671E-2</v>
      </c>
      <c r="O69" s="19">
        <f t="shared" si="9"/>
        <v>-6.0331140083746959E-9</v>
      </c>
      <c r="P69" s="21">
        <f t="shared" si="10"/>
        <v>37.943790099357898</v>
      </c>
      <c r="Q69" s="9">
        <f t="shared" si="21"/>
        <v>0.64117046727896976</v>
      </c>
      <c r="R69" s="9">
        <f t="shared" si="11"/>
        <v>6.1598530907285358</v>
      </c>
      <c r="S69" s="6">
        <f t="shared" si="22"/>
        <v>2.493874616420089E-2</v>
      </c>
      <c r="T69" s="6">
        <f t="shared" si="12"/>
        <v>2.3192518008811794E-2</v>
      </c>
      <c r="U69" s="6">
        <f t="shared" si="13"/>
        <v>0.54442743124566895</v>
      </c>
      <c r="V69" s="6">
        <f t="shared" si="14"/>
        <v>2.0122763984603515E-2</v>
      </c>
      <c r="W69" s="6">
        <f t="shared" si="15"/>
        <v>-6.6752064566625427E-2</v>
      </c>
      <c r="X69" s="6">
        <f t="shared" si="16"/>
        <v>-4.6629300582021908E-2</v>
      </c>
      <c r="Y69">
        <f t="shared" si="17"/>
        <v>0.80009892546853789</v>
      </c>
      <c r="AA69" s="43">
        <f t="shared" si="23"/>
        <v>59</v>
      </c>
      <c r="AB69" s="6">
        <f t="shared" si="24"/>
        <v>0.94057792555506425</v>
      </c>
      <c r="AC69" s="6">
        <f>VLOOKUP($C69,'hours (1)'!$A$19:$P$103,16)</f>
        <v>0.2790711788398742</v>
      </c>
      <c r="AD69" s="6">
        <f t="shared" si="25"/>
        <v>0.96950437847544824</v>
      </c>
    </row>
    <row r="70" spans="1:30" x14ac:dyDescent="0.25">
      <c r="A70" s="39">
        <f>'hours (1)'!$A70*'hours (1)'!$B70/'hours (1)'!$A$105</f>
        <v>2.2411880129843259E-4</v>
      </c>
      <c r="B70" s="9">
        <f>'hours (4)'!$E70</f>
        <v>57.194425019587612</v>
      </c>
      <c r="C70" s="26">
        <f t="shared" si="18"/>
        <v>59</v>
      </c>
      <c r="D70" s="25">
        <f t="shared" si="1"/>
        <v>0.67381324797660669</v>
      </c>
      <c r="E70" s="25">
        <f t="shared" si="19"/>
        <v>3.5651384655746364E-3</v>
      </c>
      <c r="F70" s="25">
        <f t="shared" si="2"/>
        <v>3.1272573838690373E-3</v>
      </c>
      <c r="G70" s="30">
        <f t="shared" si="3"/>
        <v>9.2683099775280208E-6</v>
      </c>
      <c r="H70" s="9">
        <f>'hours (4)'!$K70</f>
        <v>60.178942318390909</v>
      </c>
      <c r="I70" s="7">
        <f t="shared" si="4"/>
        <v>6.4000000032026785</v>
      </c>
      <c r="J70" s="9">
        <f t="shared" si="5"/>
        <v>0.20346426721320113</v>
      </c>
      <c r="K70" s="18">
        <f t="shared" si="20"/>
        <v>5.1179565143224803E-3</v>
      </c>
      <c r="L70" s="19">
        <f t="shared" si="6"/>
        <v>6.025951966073112E-4</v>
      </c>
      <c r="M70" s="19">
        <f t="shared" si="7"/>
        <v>7.2357596394070148E-2</v>
      </c>
      <c r="N70" s="19">
        <f t="shared" si="8"/>
        <v>4.3578438450040766E-2</v>
      </c>
      <c r="O70" s="19">
        <f t="shared" si="9"/>
        <v>-2.0532345684776132E-9</v>
      </c>
      <c r="P70" s="21">
        <f t="shared" si="10"/>
        <v>37.988454323421813</v>
      </c>
      <c r="Q70" s="9">
        <f t="shared" si="21"/>
        <v>0.63125825845251515</v>
      </c>
      <c r="R70" s="9">
        <f t="shared" si="11"/>
        <v>6.1634774537935817</v>
      </c>
      <c r="S70" s="6">
        <f t="shared" si="22"/>
        <v>2.4924081217153761E-2</v>
      </c>
      <c r="T70" s="6">
        <f t="shared" si="12"/>
        <v>2.3206870324084604E-2</v>
      </c>
      <c r="U70" s="6">
        <f t="shared" si="13"/>
        <v>0.54353842839174427</v>
      </c>
      <c r="V70" s="6">
        <f t="shared" si="14"/>
        <v>1.9785051840816831E-2</v>
      </c>
      <c r="W70" s="6">
        <f t="shared" si="15"/>
        <v>-6.5237929164060904E-2</v>
      </c>
      <c r="X70" s="6">
        <f t="shared" si="16"/>
        <v>-4.545287732324408E-2</v>
      </c>
      <c r="Y70">
        <f t="shared" si="17"/>
        <v>0.80231848205527134</v>
      </c>
      <c r="AA70" s="43">
        <f t="shared" si="23"/>
        <v>60</v>
      </c>
      <c r="AB70" s="6">
        <f t="shared" si="24"/>
        <v>0.94072899583278313</v>
      </c>
      <c r="AC70" s="6">
        <f>VLOOKUP($C70,'hours (1)'!$A$19:$P$103,16)</f>
        <v>0.48132803124006113</v>
      </c>
      <c r="AD70" s="6">
        <f t="shared" si="25"/>
        <v>0.96965840617987875</v>
      </c>
    </row>
    <row r="71" spans="1:30" x14ac:dyDescent="0.25">
      <c r="A71" s="39">
        <f>'hours (1)'!$A71*'hours (1)'!$B71/'hours (1)'!$A$105</f>
        <v>5.4872098282793484E-2</v>
      </c>
      <c r="B71" s="9">
        <f>'hours (4)'!$E71</f>
        <v>58.194425019587612</v>
      </c>
      <c r="C71" s="26">
        <f t="shared" si="18"/>
        <v>60</v>
      </c>
      <c r="D71" s="25">
        <f t="shared" si="1"/>
        <v>0.66258302717699658</v>
      </c>
      <c r="E71" s="25">
        <f t="shared" si="19"/>
        <v>3.5049149698736623E-3</v>
      </c>
      <c r="F71" s="25">
        <f t="shared" si="2"/>
        <v>3.0743319061964903E-3</v>
      </c>
      <c r="G71" s="30">
        <f t="shared" si="3"/>
        <v>9.2994778701453763E-6</v>
      </c>
      <c r="H71" s="9">
        <f>'hours (4)'!$K71</f>
        <v>61.178942318390909</v>
      </c>
      <c r="I71" s="7">
        <f t="shared" si="4"/>
        <v>6.4000000032026785</v>
      </c>
      <c r="J71" s="9">
        <f t="shared" si="5"/>
        <v>0.20005396174647327</v>
      </c>
      <c r="K71" s="18">
        <f t="shared" si="20"/>
        <v>5.0321734167873226E-3</v>
      </c>
      <c r="L71" s="19">
        <f t="shared" si="6"/>
        <v>3.5226717326679313E-4</v>
      </c>
      <c r="M71" s="19">
        <f t="shared" si="7"/>
        <v>7.2497929803264152E-2</v>
      </c>
      <c r="N71" s="19">
        <f t="shared" si="8"/>
        <v>4.372498599682504E-2</v>
      </c>
      <c r="O71" s="19">
        <f t="shared" si="9"/>
        <v>-4.0800716971656215E-10</v>
      </c>
      <c r="P71" s="21">
        <f t="shared" si="10"/>
        <v>38.031399627093485</v>
      </c>
      <c r="Q71" s="9">
        <f t="shared" si="21"/>
        <v>0.62164199291266475</v>
      </c>
      <c r="R71" s="9">
        <f t="shared" si="11"/>
        <v>6.1669603231327415</v>
      </c>
      <c r="S71" s="6">
        <f t="shared" si="22"/>
        <v>2.491000502503812E-2</v>
      </c>
      <c r="T71" s="6">
        <f t="shared" si="12"/>
        <v>2.3220862791347417E-2</v>
      </c>
      <c r="U71" s="6">
        <f t="shared" si="13"/>
        <v>0.5426839567324635</v>
      </c>
      <c r="V71" s="6">
        <f t="shared" si="14"/>
        <v>1.9458488322300828E-2</v>
      </c>
      <c r="W71" s="6">
        <f t="shared" si="15"/>
        <v>-6.3781521111296965E-2</v>
      </c>
      <c r="X71" s="6">
        <f t="shared" si="16"/>
        <v>-4.4323032788996221E-2</v>
      </c>
      <c r="Y71">
        <f t="shared" si="17"/>
        <v>0.80446888770090474</v>
      </c>
      <c r="AA71" s="43">
        <f t="shared" si="23"/>
        <v>61</v>
      </c>
      <c r="AB71" s="6">
        <f t="shared" si="24"/>
        <v>0.97715282291846706</v>
      </c>
      <c r="AC71" s="6">
        <f>VLOOKUP($C71,'hours (1)'!$A$19:$P$103,16)</f>
        <v>0.2466006219830662</v>
      </c>
      <c r="AD71" s="6">
        <f t="shared" si="25"/>
        <v>0.98868488421173839</v>
      </c>
    </row>
    <row r="72" spans="1:30" x14ac:dyDescent="0.25">
      <c r="A72" s="39">
        <f>'hours (1)'!$A72*'hours (1)'!$B72/'hours (1)'!$A$105</f>
        <v>9.7698279171161041E-5</v>
      </c>
      <c r="B72" s="9">
        <f>'hours (4)'!$E72</f>
        <v>59.194425019587612</v>
      </c>
      <c r="C72" s="26">
        <f t="shared" si="18"/>
        <v>61</v>
      </c>
      <c r="D72" s="25">
        <f t="shared" si="1"/>
        <v>0.65172101033802943</v>
      </c>
      <c r="E72" s="25">
        <f t="shared" si="19"/>
        <v>3.4466924866857302E-3</v>
      </c>
      <c r="F72" s="25">
        <f t="shared" si="2"/>
        <v>3.0231681617573637E-3</v>
      </c>
      <c r="G72" s="30">
        <f t="shared" si="3"/>
        <v>9.3296082754380143E-6</v>
      </c>
      <c r="H72" s="9">
        <f>'hours (4)'!$K72</f>
        <v>62.178942318390909</v>
      </c>
      <c r="I72" s="7">
        <f t="shared" si="4"/>
        <v>6.4000000032026785</v>
      </c>
      <c r="J72" s="9">
        <f t="shared" si="5"/>
        <v>0.19675611599971965</v>
      </c>
      <c r="K72" s="18">
        <f t="shared" si="20"/>
        <v>4.9492191400781725E-3</v>
      </c>
      <c r="L72" s="19">
        <f t="shared" si="6"/>
        <v>1.1010737926345215E-4</v>
      </c>
      <c r="M72" s="19">
        <f t="shared" si="7"/>
        <v>7.2633565280913664E-2</v>
      </c>
      <c r="N72" s="19">
        <f t="shared" si="8"/>
        <v>4.3866655407505471E-2</v>
      </c>
      <c r="O72" s="19">
        <f t="shared" si="9"/>
        <v>-1.2395792725605759E-11</v>
      </c>
      <c r="P72" s="21">
        <f t="shared" si="10"/>
        <v>38.072723470828194</v>
      </c>
      <c r="Q72" s="9">
        <f t="shared" si="21"/>
        <v>0.61230895945245556</v>
      </c>
      <c r="R72" s="9">
        <f t="shared" si="11"/>
        <v>6.1703098358857309</v>
      </c>
      <c r="S72" s="6">
        <f t="shared" si="22"/>
        <v>2.4896482790056799E-2</v>
      </c>
      <c r="T72" s="6">
        <f t="shared" si="12"/>
        <v>2.32345063808512E-2</v>
      </c>
      <c r="U72" s="6">
        <f t="shared" si="13"/>
        <v>0.54186206050604391</v>
      </c>
      <c r="V72" s="6">
        <f t="shared" si="14"/>
        <v>1.9142530315695037E-2</v>
      </c>
      <c r="W72" s="6">
        <f t="shared" si="15"/>
        <v>-6.2379581265236163E-2</v>
      </c>
      <c r="X72" s="6">
        <f t="shared" si="16"/>
        <v>-4.3237050949540952E-2</v>
      </c>
      <c r="Y72">
        <f t="shared" si="17"/>
        <v>0.80655326070027444</v>
      </c>
      <c r="AA72" s="43">
        <f t="shared" si="23"/>
        <v>62</v>
      </c>
      <c r="AB72" s="6">
        <f t="shared" si="24"/>
        <v>0.97721670090113522</v>
      </c>
      <c r="AC72" s="6">
        <f>VLOOKUP($C72,'hours (1)'!$A$19:$P$103,16)</f>
        <v>0.12348519058061724</v>
      </c>
      <c r="AD72" s="6">
        <f t="shared" si="25"/>
        <v>0.98870159299129645</v>
      </c>
    </row>
    <row r="73" spans="1:30" x14ac:dyDescent="0.25">
      <c r="A73" s="39">
        <f>'hours (1)'!$A73*'hours (1)'!$B73/'hours (1)'!$A$105</f>
        <v>2.178639158205274E-4</v>
      </c>
      <c r="B73" s="9">
        <f>'hours (4)'!$E73</f>
        <v>60.194425019587612</v>
      </c>
      <c r="C73" s="26">
        <f t="shared" si="18"/>
        <v>62</v>
      </c>
      <c r="D73" s="25">
        <f t="shared" si="1"/>
        <v>0.64120938113902892</v>
      </c>
      <c r="E73" s="25">
        <f t="shared" si="19"/>
        <v>3.3903729073896205E-3</v>
      </c>
      <c r="F73" s="25">
        <f t="shared" si="2"/>
        <v>2.9736796199600984E-3</v>
      </c>
      <c r="G73" s="30">
        <f t="shared" si="3"/>
        <v>9.3587521514001712E-6</v>
      </c>
      <c r="H73" s="9">
        <f>'hours (4)'!$K73</f>
        <v>63.178942318390909</v>
      </c>
      <c r="I73" s="7">
        <f t="shared" si="4"/>
        <v>6.4000000032026785</v>
      </c>
      <c r="J73" s="9">
        <f t="shared" si="5"/>
        <v>0.19356525635690297</v>
      </c>
      <c r="K73" s="18">
        <f t="shared" si="20"/>
        <v>4.8689560004177325E-3</v>
      </c>
      <c r="L73" s="19">
        <f t="shared" si="6"/>
        <v>-1.2427761385500058E-4</v>
      </c>
      <c r="M73" s="19">
        <f t="shared" si="7"/>
        <v>7.2764734832773764E-2</v>
      </c>
      <c r="N73" s="19">
        <f t="shared" si="8"/>
        <v>4.4003686280220333E-2</v>
      </c>
      <c r="O73" s="19">
        <f t="shared" si="9"/>
        <v>1.7735604651569759E-11</v>
      </c>
      <c r="P73" s="21">
        <f t="shared" si="10"/>
        <v>38.112516079113384</v>
      </c>
      <c r="Q73" s="9">
        <f t="shared" si="21"/>
        <v>0.60324713710851596</v>
      </c>
      <c r="R73" s="9">
        <f t="shared" si="11"/>
        <v>6.1735335164809291</v>
      </c>
      <c r="S73" s="6">
        <f t="shared" si="22"/>
        <v>2.4883482405715363E-2</v>
      </c>
      <c r="T73" s="6">
        <f t="shared" si="12"/>
        <v>2.3247811856472251E-2</v>
      </c>
      <c r="U73" s="6">
        <f t="shared" si="13"/>
        <v>0.54107092768427612</v>
      </c>
      <c r="V73" s="6">
        <f t="shared" si="14"/>
        <v>1.8836669422510315E-2</v>
      </c>
      <c r="W73" s="6">
        <f t="shared" si="15"/>
        <v>-6.1029092511355604E-2</v>
      </c>
      <c r="X73" s="6">
        <f t="shared" si="16"/>
        <v>-4.2192423088845361E-2</v>
      </c>
      <c r="Y73">
        <f t="shared" si="17"/>
        <v>0.80857453962734904</v>
      </c>
      <c r="AA73" s="43">
        <f t="shared" si="23"/>
        <v>63</v>
      </c>
      <c r="AB73" s="6">
        <f t="shared" si="24"/>
        <v>0.97735703856363787</v>
      </c>
      <c r="AC73" s="6">
        <f>VLOOKUP($C73,'hours (1)'!$A$19:$P$103,16)</f>
        <v>0.34892609262462937</v>
      </c>
      <c r="AD73" s="6">
        <f t="shared" si="25"/>
        <v>0.9888053186846214</v>
      </c>
    </row>
    <row r="74" spans="1:30" x14ac:dyDescent="0.25">
      <c r="A74" s="39">
        <f>'hours (1)'!$A74*'hours (1)'!$B74/'hours (1)'!$A$105</f>
        <v>2.1367286437780667E-4</v>
      </c>
      <c r="B74" s="9">
        <f>'hours (4)'!$E74</f>
        <v>61.194425019587612</v>
      </c>
      <c r="C74" s="26">
        <f t="shared" si="18"/>
        <v>63</v>
      </c>
      <c r="D74" s="25">
        <f t="shared" si="1"/>
        <v>0.63103145445428244</v>
      </c>
      <c r="E74" s="25">
        <f t="shared" si="19"/>
        <v>3.3358644343867271E-3</v>
      </c>
      <c r="F74" s="25">
        <f t="shared" si="2"/>
        <v>2.9257853261227527E-3</v>
      </c>
      <c r="G74" s="30">
        <f t="shared" si="3"/>
        <v>9.3869571723645919E-6</v>
      </c>
      <c r="H74" s="9">
        <f>'hours (4)'!$K74</f>
        <v>64.178942318390909</v>
      </c>
      <c r="I74" s="7">
        <f t="shared" si="4"/>
        <v>6.4000000032026785</v>
      </c>
      <c r="J74" s="9">
        <f t="shared" si="5"/>
        <v>0.19047625881126934</v>
      </c>
      <c r="K74" s="18">
        <f t="shared" si="20"/>
        <v>4.7912551081286904E-3</v>
      </c>
      <c r="L74" s="19">
        <f t="shared" si="6"/>
        <v>-3.5125636426958096E-4</v>
      </c>
      <c r="M74" s="19">
        <f t="shared" si="7"/>
        <v>7.2891655436425909E-2</v>
      </c>
      <c r="N74" s="19">
        <f t="shared" si="8"/>
        <v>4.4136302773740754E-2</v>
      </c>
      <c r="O74" s="19">
        <f t="shared" si="9"/>
        <v>3.9853269295786475E-10</v>
      </c>
      <c r="P74" s="21">
        <f t="shared" si="10"/>
        <v>38.150861099988063</v>
      </c>
      <c r="Q74" s="9">
        <f t="shared" si="21"/>
        <v>0.5944451516623962</v>
      </c>
      <c r="R74" s="9">
        <f t="shared" si="11"/>
        <v>6.1766383332673822</v>
      </c>
      <c r="S74" s="6">
        <f t="shared" si="22"/>
        <v>2.4870974201460862E-2</v>
      </c>
      <c r="T74" s="6">
        <f t="shared" si="12"/>
        <v>2.3260789746100827E-2</v>
      </c>
      <c r="U74" s="6">
        <f t="shared" si="13"/>
        <v>0.54030887711181086</v>
      </c>
      <c r="V74" s="6">
        <f t="shared" si="14"/>
        <v>1.8540429229030604E-2</v>
      </c>
      <c r="W74" s="6">
        <f t="shared" si="15"/>
        <v>-5.9727257613725951E-2</v>
      </c>
      <c r="X74" s="6">
        <f t="shared" si="16"/>
        <v>-4.1186828384695201E-2</v>
      </c>
      <c r="Y74">
        <f t="shared" si="17"/>
        <v>0.81053549561046356</v>
      </c>
      <c r="AA74" s="43">
        <f t="shared" si="23"/>
        <v>64</v>
      </c>
      <c r="AB74" s="6">
        <f t="shared" si="24"/>
        <v>0.97749266827109349</v>
      </c>
      <c r="AC74" s="6">
        <f>VLOOKUP($C74,'hours (1)'!$A$19:$P$103,16)</f>
        <v>0.70823459370491926</v>
      </c>
      <c r="AD74" s="6">
        <f t="shared" si="25"/>
        <v>0.98900879348066217</v>
      </c>
    </row>
    <row r="75" spans="1:30" x14ac:dyDescent="0.25">
      <c r="A75" s="39">
        <f>'hours (1)'!$A75*'hours (1)'!$B75/'hours (1)'!$A$105</f>
        <v>4.7501736735167989E-4</v>
      </c>
      <c r="B75" s="9">
        <f>'hours (4)'!$E75</f>
        <v>62.194425019587612</v>
      </c>
      <c r="C75" s="26">
        <f t="shared" si="18"/>
        <v>64</v>
      </c>
      <c r="D75" s="25">
        <f t="shared" si="1"/>
        <v>0.6211715879784343</v>
      </c>
      <c r="E75" s="25">
        <f t="shared" si="19"/>
        <v>3.2830810816311074E-3</v>
      </c>
      <c r="F75" s="25">
        <f t="shared" si="2"/>
        <v>2.8794094594337583E-3</v>
      </c>
      <c r="G75" s="30">
        <f t="shared" si="3"/>
        <v>9.4142679893201289E-6</v>
      </c>
      <c r="H75" s="9">
        <f>'hours (4)'!$K75</f>
        <v>65.178942318390909</v>
      </c>
      <c r="I75" s="7">
        <f t="shared" si="4"/>
        <v>6.4000000032026785</v>
      </c>
      <c r="J75" s="9">
        <f t="shared" si="5"/>
        <v>0.18748432148634067</v>
      </c>
      <c r="K75" s="18">
        <f t="shared" si="20"/>
        <v>4.7159956764245576E-3</v>
      </c>
      <c r="L75" s="19">
        <f t="shared" si="6"/>
        <v>-5.7117449475313498E-4</v>
      </c>
      <c r="M75" s="19">
        <f t="shared" si="7"/>
        <v>7.3014530238618189E-2</v>
      </c>
      <c r="N75" s="19">
        <f t="shared" si="8"/>
        <v>4.4264714831451696E-2</v>
      </c>
      <c r="O75" s="19">
        <f t="shared" si="9"/>
        <v>1.705644514515825E-9</v>
      </c>
      <c r="P75" s="21">
        <f t="shared" si="10"/>
        <v>38.187836193717494</v>
      </c>
      <c r="Q75" s="9">
        <f t="shared" si="21"/>
        <v>0.58589223505921184</v>
      </c>
      <c r="R75" s="9">
        <f t="shared" si="11"/>
        <v>6.1796307489782505</v>
      </c>
      <c r="S75" s="6">
        <f t="shared" si="22"/>
        <v>2.4858930715859824E-2</v>
      </c>
      <c r="T75" s="6">
        <f t="shared" si="12"/>
        <v>2.3273450319787749E-2</v>
      </c>
      <c r="U75" s="6">
        <f t="shared" si="13"/>
        <v>0.53957434699114604</v>
      </c>
      <c r="V75" s="6">
        <f t="shared" si="14"/>
        <v>1.8253362829879712E-2</v>
      </c>
      <c r="W75" s="6">
        <f t="shared" si="15"/>
        <v>-5.8471479462037811E-2</v>
      </c>
      <c r="X75" s="6">
        <f t="shared" si="16"/>
        <v>-4.0218116632158227E-2</v>
      </c>
      <c r="Y75">
        <f t="shared" si="17"/>
        <v>0.81243874367281066</v>
      </c>
      <c r="AA75" s="43">
        <f t="shared" si="23"/>
        <v>65</v>
      </c>
      <c r="AB75" s="6">
        <f t="shared" si="24"/>
        <v>0.97778984917164824</v>
      </c>
      <c r="AC75" s="6">
        <f>VLOOKUP($C75,'hours (1)'!$A$19:$P$103,16)</f>
        <v>0.37833153561735611</v>
      </c>
      <c r="AD75" s="6">
        <f t="shared" si="25"/>
        <v>0.98924695527757489</v>
      </c>
    </row>
    <row r="76" spans="1:30" x14ac:dyDescent="0.25">
      <c r="A76" s="39">
        <f>'hours (1)'!$A76*'hours (1)'!$B76/'hours (1)'!$A$105</f>
        <v>7.4957717788345229E-3</v>
      </c>
      <c r="B76" s="9">
        <f>'hours (4)'!$E76</f>
        <v>63.194425019587612</v>
      </c>
      <c r="C76" s="26">
        <f t="shared" si="18"/>
        <v>65</v>
      </c>
      <c r="D76" s="25">
        <f t="shared" si="1"/>
        <v>0.61161510200953528</v>
      </c>
      <c r="E76" s="25">
        <f t="shared" si="19"/>
        <v>3.231942221859371E-3</v>
      </c>
      <c r="F76" s="25">
        <f t="shared" si="2"/>
        <v>2.8344809323112116E-3</v>
      </c>
      <c r="G76" s="30">
        <f t="shared" si="3"/>
        <v>9.4407264658496239E-6</v>
      </c>
      <c r="H76" s="9">
        <f>'hours (4)'!$K76</f>
        <v>66.178942318390909</v>
      </c>
      <c r="I76" s="7">
        <f t="shared" si="4"/>
        <v>6.4000000032026785</v>
      </c>
      <c r="J76" s="9">
        <f t="shared" si="5"/>
        <v>0.18458493970905207</v>
      </c>
      <c r="K76" s="18">
        <f t="shared" si="20"/>
        <v>4.6430643943973652E-3</v>
      </c>
      <c r="L76" s="19">
        <f t="shared" si="6"/>
        <v>-7.8435644964347517E-4</v>
      </c>
      <c r="M76" s="19">
        <f t="shared" si="7"/>
        <v>7.3133549639932779E-2</v>
      </c>
      <c r="N76" s="19">
        <f t="shared" si="8"/>
        <v>4.4389119290702418E-2</v>
      </c>
      <c r="O76" s="19">
        <f t="shared" si="9"/>
        <v>4.397230982111644E-9</v>
      </c>
      <c r="P76" s="21">
        <f t="shared" si="10"/>
        <v>38.223513559343345</v>
      </c>
      <c r="Q76" s="9">
        <f t="shared" si="21"/>
        <v>0.5775781875667898</v>
      </c>
      <c r="R76" s="9">
        <f t="shared" si="11"/>
        <v>6.1825167657955724</v>
      </c>
      <c r="S76" s="6">
        <f t="shared" si="22"/>
        <v>2.4847326494662474E-2</v>
      </c>
      <c r="T76" s="6">
        <f t="shared" si="12"/>
        <v>2.3285803574194106E-2</v>
      </c>
      <c r="U76" s="6">
        <f t="shared" si="13"/>
        <v>0.53886588455318007</v>
      </c>
      <c r="V76" s="6">
        <f t="shared" si="14"/>
        <v>1.7975050578169709E-2</v>
      </c>
      <c r="W76" s="6">
        <f t="shared" si="15"/>
        <v>-5.7259343417559033E-2</v>
      </c>
      <c r="X76" s="6">
        <f t="shared" si="16"/>
        <v>-3.9284292839389535E-2</v>
      </c>
      <c r="Y76">
        <f t="shared" si="17"/>
        <v>0.81428675321204858</v>
      </c>
      <c r="AA76" s="43">
        <f t="shared" si="23"/>
        <v>66</v>
      </c>
      <c r="AB76" s="6">
        <f t="shared" si="24"/>
        <v>0.9824128162707737</v>
      </c>
      <c r="AC76" s="6">
        <f>VLOOKUP($C76,'hours (1)'!$A$19:$P$103,16)</f>
        <v>0.25995363563680474</v>
      </c>
      <c r="AD76" s="6">
        <f t="shared" si="25"/>
        <v>0.99179258573885964</v>
      </c>
    </row>
    <row r="77" spans="1:30" x14ac:dyDescent="0.25">
      <c r="A77" s="39">
        <f>'hours (1)'!$A77*'hours (1)'!$B77/'hours (1)'!$A$105</f>
        <v>3.5948819798164858E-4</v>
      </c>
      <c r="B77" s="9">
        <f>'hours (4)'!$E77</f>
        <v>64.194425019587612</v>
      </c>
      <c r="C77" s="26">
        <f t="shared" si="18"/>
        <v>66</v>
      </c>
      <c r="D77" s="25">
        <f t="shared" si="1"/>
        <v>0.60234820652454235</v>
      </c>
      <c r="E77" s="25">
        <f t="shared" si="19"/>
        <v>3.1823721755036552E-3</v>
      </c>
      <c r="F77" s="25">
        <f t="shared" si="2"/>
        <v>2.7909330267062256E-3</v>
      </c>
      <c r="G77" s="30">
        <f t="shared" si="3"/>
        <v>9.4663718923114208E-6</v>
      </c>
      <c r="H77" s="9">
        <f>'hours (4)'!$K77</f>
        <v>67.178942318390909</v>
      </c>
      <c r="I77" s="7">
        <f t="shared" si="4"/>
        <v>6.4000000032026785</v>
      </c>
      <c r="J77" s="9">
        <f t="shared" si="5"/>
        <v>0.18177388336264105</v>
      </c>
      <c r="K77" s="18">
        <f t="shared" si="20"/>
        <v>4.5723548573504179E-3</v>
      </c>
      <c r="L77" s="19">
        <f t="shared" si="6"/>
        <v>-9.9110709272232089E-4</v>
      </c>
      <c r="M77" s="19">
        <f t="shared" si="7"/>
        <v>7.3248892278960503E-2</v>
      </c>
      <c r="N77" s="19">
        <f t="shared" si="8"/>
        <v>4.4509700889861288E-2</v>
      </c>
      <c r="O77" s="19">
        <f t="shared" si="9"/>
        <v>8.8332441500194037E-9</v>
      </c>
      <c r="P77" s="21">
        <f t="shared" si="10"/>
        <v>38.25796040662452</v>
      </c>
      <c r="Q77" s="9">
        <f t="shared" si="21"/>
        <v>0.5694933425016282</v>
      </c>
      <c r="R77" s="9">
        <f t="shared" si="11"/>
        <v>6.185301965678355</v>
      </c>
      <c r="S77" s="6">
        <f t="shared" si="22"/>
        <v>2.4836137910624962E-2</v>
      </c>
      <c r="T77" s="6">
        <f t="shared" si="12"/>
        <v>2.3297859222152204E-2</v>
      </c>
      <c r="U77" s="6">
        <f t="shared" si="13"/>
        <v>0.53818213677440419</v>
      </c>
      <c r="V77" s="6">
        <f t="shared" si="14"/>
        <v>1.7705098038411065E-2</v>
      </c>
      <c r="W77" s="6">
        <f t="shared" si="15"/>
        <v>-5.608860150165073E-2</v>
      </c>
      <c r="X77" s="6">
        <f t="shared" si="16"/>
        <v>-3.8383503463239578E-2</v>
      </c>
      <c r="Y77">
        <f t="shared" si="17"/>
        <v>0.81608185768767161</v>
      </c>
      <c r="AA77" s="43">
        <f t="shared" si="23"/>
        <v>67</v>
      </c>
      <c r="AB77" s="6">
        <f t="shared" si="24"/>
        <v>0.9826314247244482</v>
      </c>
      <c r="AC77" s="6">
        <f>VLOOKUP($C77,'hours (1)'!$A$19:$P$103,16)</f>
        <v>0.38790189353632404</v>
      </c>
      <c r="AD77" s="6">
        <f t="shared" si="25"/>
        <v>0.99197221104141331</v>
      </c>
    </row>
    <row r="78" spans="1:30" x14ac:dyDescent="0.25">
      <c r="A78" s="39">
        <f>'hours (1)'!$A78*'hours (1)'!$B78/'hours (1)'!$A$105</f>
        <v>9.2452711386241244E-5</v>
      </c>
      <c r="B78" s="9">
        <f>'hours (4)'!$E78</f>
        <v>65.194425019587612</v>
      </c>
      <c r="C78" s="26">
        <f t="shared" si="18"/>
        <v>67</v>
      </c>
      <c r="D78" s="25">
        <f t="shared" si="1"/>
        <v>0.59335793478537013</v>
      </c>
      <c r="E78" s="25">
        <f t="shared" si="19"/>
        <v>3.1342998368787886E-3</v>
      </c>
      <c r="F78" s="25">
        <f t="shared" si="2"/>
        <v>2.7487030634365446E-3</v>
      </c>
      <c r="G78" s="30">
        <f t="shared" si="3"/>
        <v>9.4912411805692931E-6</v>
      </c>
      <c r="H78" s="9">
        <f>'hours (4)'!$K78</f>
        <v>68.178942318390909</v>
      </c>
      <c r="I78" s="7">
        <f t="shared" si="4"/>
        <v>6.4000000032026785</v>
      </c>
      <c r="J78" s="9">
        <f t="shared" si="5"/>
        <v>0.17904717627966737</v>
      </c>
      <c r="K78" s="18">
        <f t="shared" si="20"/>
        <v>4.503767048448664E-3</v>
      </c>
      <c r="L78" s="19">
        <f t="shared" si="6"/>
        <v>-1.1917131625609201E-3</v>
      </c>
      <c r="M78" s="19">
        <f t="shared" si="7"/>
        <v>7.3360725926675918E-2</v>
      </c>
      <c r="N78" s="19">
        <f t="shared" si="8"/>
        <v>4.4626633183911628E-2</v>
      </c>
      <c r="O78" s="19">
        <f t="shared" si="9"/>
        <v>1.5291608798650991E-8</v>
      </c>
      <c r="P78" s="21">
        <f t="shared" si="10"/>
        <v>38.291239379863619</v>
      </c>
      <c r="Q78" s="9">
        <f t="shared" si="21"/>
        <v>0.56162853335339524</v>
      </c>
      <c r="R78" s="9">
        <f t="shared" si="11"/>
        <v>6.1879915465248994</v>
      </c>
      <c r="S78" s="6">
        <f t="shared" si="22"/>
        <v>2.4825343002402429E-2</v>
      </c>
      <c r="T78" s="6">
        <f t="shared" si="12"/>
        <v>2.3309626686359695E-2</v>
      </c>
      <c r="U78" s="6">
        <f t="shared" si="13"/>
        <v>0.53752184201998165</v>
      </c>
      <c r="V78" s="6">
        <f t="shared" si="14"/>
        <v>1.7443134121179898E-2</v>
      </c>
      <c r="W78" s="6">
        <f t="shared" si="15"/>
        <v>-5.4957158205706826E-2</v>
      </c>
      <c r="X78" s="6">
        <f t="shared" si="16"/>
        <v>-3.7514024084526809E-2</v>
      </c>
      <c r="Y78">
        <f t="shared" si="17"/>
        <v>0.81782626357966415</v>
      </c>
      <c r="AA78" s="43">
        <f t="shared" si="23"/>
        <v>68</v>
      </c>
      <c r="AB78" s="6">
        <f t="shared" si="24"/>
        <v>0.98268686973621944</v>
      </c>
      <c r="AC78" s="6">
        <f>VLOOKUP($C78,'hours (1)'!$A$19:$P$103,16)</f>
        <v>0.49123737802944023</v>
      </c>
      <c r="AD78" s="6">
        <f t="shared" si="25"/>
        <v>0.99202990529318769</v>
      </c>
    </row>
    <row r="79" spans="1:30" x14ac:dyDescent="0.25">
      <c r="A79" s="39">
        <f>'hours (1)'!$A79*'hours (1)'!$B79/'hours (1)'!$A$105</f>
        <v>4.8207614243105362E-4</v>
      </c>
      <c r="B79" s="9">
        <f>'hours (4)'!$E79</f>
        <v>66.194425019587612</v>
      </c>
      <c r="C79" s="26">
        <f t="shared" si="18"/>
        <v>68</v>
      </c>
      <c r="D79" s="25">
        <f t="shared" si="1"/>
        <v>0.58463208280323231</v>
      </c>
      <c r="E79" s="25">
        <f t="shared" si="19"/>
        <v>3.0876583337580538E-3</v>
      </c>
      <c r="F79" s="25">
        <f t="shared" si="2"/>
        <v>2.7077321011017255E-3</v>
      </c>
      <c r="G79" s="30">
        <f t="shared" si="3"/>
        <v>9.5153690413017371E-6</v>
      </c>
      <c r="H79" s="9">
        <f>'hours (4)'!$K79</f>
        <v>69.178942318390909</v>
      </c>
      <c r="I79" s="7">
        <f t="shared" si="4"/>
        <v>6.4000000032026785</v>
      </c>
      <c r="J79" s="9">
        <f t="shared" si="5"/>
        <v>0.17640107746388167</v>
      </c>
      <c r="K79" s="18">
        <f t="shared" si="20"/>
        <v>4.4372068663720704E-3</v>
      </c>
      <c r="L79" s="19">
        <f t="shared" si="6"/>
        <v>-1.3864445999459823E-3</v>
      </c>
      <c r="M79" s="19">
        <f t="shared" si="7"/>
        <v>7.3469208300432243E-2</v>
      </c>
      <c r="N79" s="19">
        <f t="shared" si="8"/>
        <v>4.4740079378137905E-2</v>
      </c>
      <c r="O79" s="19">
        <f t="shared" si="9"/>
        <v>2.3981816532625544E-8</v>
      </c>
      <c r="P79" s="21">
        <f t="shared" si="10"/>
        <v>38.323408939244835</v>
      </c>
      <c r="Q79" s="9">
        <f t="shared" si="21"/>
        <v>0.55397506314658895</v>
      </c>
      <c r="R79" s="9">
        <f t="shared" si="11"/>
        <v>6.1905903546628602</v>
      </c>
      <c r="S79" s="6">
        <f t="shared" si="22"/>
        <v>2.4814921330198948E-2</v>
      </c>
      <c r="T79" s="6">
        <f t="shared" si="12"/>
        <v>2.3321115096404464E-2</v>
      </c>
      <c r="U79" s="6">
        <f t="shared" si="13"/>
        <v>0.53688382250748701</v>
      </c>
      <c r="V79" s="6">
        <f t="shared" si="14"/>
        <v>1.7188809380985826E-2</v>
      </c>
      <c r="W79" s="6">
        <f t="shared" si="15"/>
        <v>-5.3863057731300713E-2</v>
      </c>
      <c r="X79" s="6">
        <f t="shared" si="16"/>
        <v>-3.667424835031502E-2</v>
      </c>
      <c r="Y79">
        <f t="shared" si="17"/>
        <v>0.81952205867708749</v>
      </c>
      <c r="AA79" s="43">
        <f t="shared" si="23"/>
        <v>69</v>
      </c>
      <c r="AB79" s="6">
        <f t="shared" si="24"/>
        <v>0.98297203690153445</v>
      </c>
      <c r="AC79" s="6">
        <f>VLOOKUP($C79,'hours (1)'!$A$19:$P$103,16)</f>
        <v>0.3532285309144646</v>
      </c>
      <c r="AD79" s="6">
        <f t="shared" si="25"/>
        <v>0.99224327558659853</v>
      </c>
    </row>
    <row r="80" spans="1:30" x14ac:dyDescent="0.25">
      <c r="A80" s="39">
        <f>'hours (1)'!$A80*'hours (1)'!$B80/'hours (1)'!$A$105</f>
        <v>1.0059081358829145E-4</v>
      </c>
      <c r="B80" s="9">
        <f>'hours (4)'!$E80</f>
        <v>67.194425019587612</v>
      </c>
      <c r="C80" s="26">
        <f t="shared" si="18"/>
        <v>69</v>
      </c>
      <c r="D80" s="25">
        <f t="shared" si="1"/>
        <v>0.5761591540669535</v>
      </c>
      <c r="E80" s="25">
        <f t="shared" si="19"/>
        <v>3.0423847169100703E-3</v>
      </c>
      <c r="F80" s="25">
        <f t="shared" si="2"/>
        <v>2.6679646615386161E-3</v>
      </c>
      <c r="G80" s="30">
        <f t="shared" si="3"/>
        <v>9.5387881456816469E-6</v>
      </c>
      <c r="H80" s="9">
        <f>'hours (4)'!$K80</f>
        <v>70.178942318390909</v>
      </c>
      <c r="I80" s="7">
        <f t="shared" si="4"/>
        <v>6.4000000032026785</v>
      </c>
      <c r="J80" s="9">
        <f t="shared" si="5"/>
        <v>0.17383206395431286</v>
      </c>
      <c r="K80" s="18">
        <f t="shared" si="20"/>
        <v>4.3725856942774984E-3</v>
      </c>
      <c r="L80" s="19">
        <f t="shared" si="6"/>
        <v>-1.5755557603209791E-3</v>
      </c>
      <c r="M80" s="19">
        <f t="shared" si="7"/>
        <v>7.357448780587536E-2</v>
      </c>
      <c r="N80" s="19">
        <f t="shared" si="8"/>
        <v>4.4850193088323415E-2</v>
      </c>
      <c r="O80" s="19">
        <f t="shared" si="9"/>
        <v>3.5056359315444041E-8</v>
      </c>
      <c r="P80" s="21">
        <f t="shared" si="10"/>
        <v>38.354523704571662</v>
      </c>
      <c r="Q80" s="9">
        <f t="shared" si="21"/>
        <v>0.54652467588586862</v>
      </c>
      <c r="R80" s="9">
        <f t="shared" si="11"/>
        <v>6.1931029140949745</v>
      </c>
      <c r="S80" s="6">
        <f t="shared" si="22"/>
        <v>2.4804853846175156E-2</v>
      </c>
      <c r="T80" s="6">
        <f t="shared" si="12"/>
        <v>2.3332333288460218E-2</v>
      </c>
      <c r="U80" s="6">
        <f t="shared" si="13"/>
        <v>0.53626697749943841</v>
      </c>
      <c r="V80" s="6">
        <f t="shared" si="14"/>
        <v>1.6941794460925565E-2</v>
      </c>
      <c r="W80" s="6">
        <f t="shared" si="15"/>
        <v>-5.2804472494676145E-2</v>
      </c>
      <c r="X80" s="6">
        <f t="shared" si="16"/>
        <v>-3.5862678033750525E-2</v>
      </c>
      <c r="Y80">
        <f t="shared" si="17"/>
        <v>0.82117121975060314</v>
      </c>
      <c r="AA80" s="43">
        <f t="shared" si="23"/>
        <v>70</v>
      </c>
      <c r="AB80" s="6">
        <f t="shared" si="24"/>
        <v>0.98303074009936964</v>
      </c>
      <c r="AC80" s="6">
        <f>VLOOKUP($C80,'hours (1)'!$A$19:$P$103,16)</f>
        <v>0</v>
      </c>
      <c r="AD80" s="6">
        <f t="shared" si="25"/>
        <v>0.99224327558659853</v>
      </c>
    </row>
    <row r="81" spans="1:30" x14ac:dyDescent="0.25">
      <c r="A81" s="39">
        <f>'hours (1)'!$A81*'hours (1)'!$B81/'hours (1)'!$A$105</f>
        <v>1.2199517824626339E-2</v>
      </c>
      <c r="B81" s="9">
        <f>'hours (4)'!$E81</f>
        <v>68.194425019587612</v>
      </c>
      <c r="C81" s="26">
        <f t="shared" si="18"/>
        <v>70</v>
      </c>
      <c r="D81" s="25">
        <f t="shared" si="1"/>
        <v>0.56792830900885427</v>
      </c>
      <c r="E81" s="25">
        <f t="shared" si="19"/>
        <v>2.9984196765637486E-3</v>
      </c>
      <c r="F81" s="25">
        <f t="shared" si="2"/>
        <v>2.629348479126172E-3</v>
      </c>
      <c r="G81" s="30">
        <f t="shared" si="3"/>
        <v>9.5615292730110949E-6</v>
      </c>
      <c r="H81" s="9">
        <f>'hours (4)'!$K81</f>
        <v>71.178942318390909</v>
      </c>
      <c r="I81" s="7">
        <f t="shared" si="4"/>
        <v>6.4000000032026785</v>
      </c>
      <c r="J81" s="9">
        <f t="shared" si="5"/>
        <v>0.17133681516640295</v>
      </c>
      <c r="K81" s="18">
        <f t="shared" si="20"/>
        <v>4.3098200059143565E-3</v>
      </c>
      <c r="L81" s="19">
        <f t="shared" si="6"/>
        <v>-1.759286522693429E-3</v>
      </c>
      <c r="M81" s="19">
        <f t="shared" si="7"/>
        <v>7.3676704214118732E-2</v>
      </c>
      <c r="N81" s="19">
        <f t="shared" si="8"/>
        <v>4.495711903491062E-2</v>
      </c>
      <c r="O81" s="19">
        <f t="shared" si="9"/>
        <v>4.8620352854911175E-8</v>
      </c>
      <c r="P81" s="21">
        <f t="shared" si="10"/>
        <v>38.384634765658724</v>
      </c>
      <c r="Q81" s="9">
        <f t="shared" si="21"/>
        <v>0.53926952993991129</v>
      </c>
      <c r="R81" s="9">
        <f t="shared" si="11"/>
        <v>6.1955334528722164</v>
      </c>
      <c r="S81" s="6">
        <f t="shared" si="22"/>
        <v>2.4795122777882886E-2</v>
      </c>
      <c r="T81" s="6">
        <f t="shared" si="12"/>
        <v>2.3343289807110843E-2</v>
      </c>
      <c r="U81" s="6">
        <f t="shared" si="13"/>
        <v>0.53567027714423743</v>
      </c>
      <c r="V81" s="6">
        <f t="shared" si="14"/>
        <v>1.670177866956115E-2</v>
      </c>
      <c r="W81" s="6">
        <f t="shared" si="15"/>
        <v>-5.1779692751434916E-2</v>
      </c>
      <c r="X81" s="6">
        <f t="shared" si="16"/>
        <v>-3.5077914081873711E-2</v>
      </c>
      <c r="Y81">
        <f t="shared" si="17"/>
        <v>0.82277561965858648</v>
      </c>
      <c r="AA81" s="43">
        <f t="shared" si="23"/>
        <v>71</v>
      </c>
      <c r="AB81" s="6">
        <f t="shared" si="24"/>
        <v>0.99005567351064871</v>
      </c>
      <c r="AC81" s="6">
        <f>VLOOKUP($C81,'hours (1)'!$A$19:$P$103,16)</f>
        <v>0.19788836524095066</v>
      </c>
      <c r="AD81" s="6">
        <f t="shared" si="25"/>
        <v>0.99518797610995413</v>
      </c>
    </row>
    <row r="82" spans="1:30" x14ac:dyDescent="0.25">
      <c r="A82" s="39">
        <f>'hours (1)'!$A82*'hours (1)'!$B82/'hours (1)'!$A$105</f>
        <v>6.2031621566778031E-5</v>
      </c>
      <c r="B82" s="9">
        <f>'hours (4)'!$E82</f>
        <v>69.194425019587612</v>
      </c>
      <c r="C82" s="26">
        <f t="shared" si="18"/>
        <v>71</v>
      </c>
      <c r="D82" s="25">
        <f t="shared" si="1"/>
        <v>0.55992931874112384</v>
      </c>
      <c r="E82" s="25">
        <f t="shared" si="19"/>
        <v>2.9557072831157519E-3</v>
      </c>
      <c r="F82" s="25">
        <f t="shared" si="2"/>
        <v>2.591834271557578E-3</v>
      </c>
      <c r="G82" s="30">
        <f t="shared" si="3"/>
        <v>9.5836214457139512E-6</v>
      </c>
      <c r="H82" s="9">
        <f>'hours (4)'!$K82</f>
        <v>72.178942318390909</v>
      </c>
      <c r="I82" s="7">
        <f t="shared" si="4"/>
        <v>6.4000000032026785</v>
      </c>
      <c r="J82" s="9">
        <f t="shared" si="5"/>
        <v>0.16891219856373799</v>
      </c>
      <c r="K82" s="18">
        <f t="shared" si="20"/>
        <v>4.2488310052101663E-3</v>
      </c>
      <c r="L82" s="19">
        <f t="shared" si="6"/>
        <v>-1.9378633051832517E-3</v>
      </c>
      <c r="M82" s="19">
        <f t="shared" si="7"/>
        <v>7.3775989280671986E-2</v>
      </c>
      <c r="N82" s="19">
        <f t="shared" si="8"/>
        <v>4.5060993677719659E-2</v>
      </c>
      <c r="O82" s="19">
        <f t="shared" si="9"/>
        <v>6.4739644298206223E-8</v>
      </c>
      <c r="P82" s="21">
        <f t="shared" si="10"/>
        <v>38.413789963092363</v>
      </c>
      <c r="Q82" s="9">
        <f t="shared" si="21"/>
        <v>0.53220217322725549</v>
      </c>
      <c r="R82" s="9">
        <f t="shared" si="11"/>
        <v>6.1978859269183362</v>
      </c>
      <c r="S82" s="6">
        <f t="shared" si="22"/>
        <v>2.4785711523223938E-2</v>
      </c>
      <c r="T82" s="6">
        <f t="shared" si="12"/>
        <v>2.3353992908857504E-2</v>
      </c>
      <c r="U82" s="6">
        <f t="shared" si="13"/>
        <v>0.53509275689504376</v>
      </c>
      <c r="V82" s="6">
        <f t="shared" si="14"/>
        <v>1.646846867708884E-2</v>
      </c>
      <c r="W82" s="6">
        <f t="shared" si="15"/>
        <v>-5.0787117215763185E-2</v>
      </c>
      <c r="X82" s="6">
        <f t="shared" si="16"/>
        <v>-3.4318648538674341E-2</v>
      </c>
      <c r="Y82">
        <f t="shared" si="17"/>
        <v>0.82433703393241509</v>
      </c>
      <c r="AA82" s="43">
        <f t="shared" si="23"/>
        <v>72</v>
      </c>
      <c r="AB82" s="6">
        <f t="shared" si="24"/>
        <v>0.99009092548468813</v>
      </c>
      <c r="AC82" s="6">
        <f>VLOOKUP($C82,'hours (1)'!$A$19:$P$103,16)</f>
        <v>9.2029363495985547E-2</v>
      </c>
      <c r="AD82" s="6">
        <f t="shared" si="25"/>
        <v>0.99519484819492432</v>
      </c>
    </row>
    <row r="83" spans="1:30" x14ac:dyDescent="0.25">
      <c r="A83" s="39">
        <f>'hours (1)'!$A83*'hours (1)'!$B83/'hours (1)'!$A$105</f>
        <v>2.2022461679981971E-3</v>
      </c>
      <c r="B83" s="9">
        <f>'hours (4)'!$E83</f>
        <v>70.194425019587612</v>
      </c>
      <c r="C83" s="26">
        <f t="shared" si="18"/>
        <v>72</v>
      </c>
      <c r="D83" s="25">
        <f t="shared" ref="D83:D103" si="26">$B$15/$C83</f>
        <v>0.55215252264749715</v>
      </c>
      <c r="E83" s="25">
        <f t="shared" si="19"/>
        <v>2.9141947496957935E-3</v>
      </c>
      <c r="F83" s="25">
        <f t="shared" ref="F83:F103" si="27">(((1-$B$16)*$B$4*$B$9+$B$11)/$C83+($B83/$C83-1+LN($C83/$B83))/$B$5)*$B$8</f>
        <v>2.5553755299648163E-3</v>
      </c>
      <c r="G83" s="30">
        <f t="shared" ref="G83:G103" si="28">((1-$B$16)*$B$8-$F83)*$F$5/($F$14*$B$15^(1/$B$6))</f>
        <v>9.6050920529318499E-6</v>
      </c>
      <c r="H83" s="9">
        <f>'hours (4)'!$K83</f>
        <v>73.178942318390909</v>
      </c>
      <c r="I83" s="7">
        <f t="shared" ref="I83:I103" si="29">IF($H83&gt;$B$14,1,0)*$B$13</f>
        <v>6.4000000032026785</v>
      </c>
      <c r="J83" s="9">
        <f t="shared" ref="J83:J103" si="30">(1-$B$16-$B$12)*($B$4*$B$9+$I83)/$H83+$B$11/$H83+($B83/$H83-1+LN($H83/$B83))/$B$5</f>
        <v>0.16655525653028422</v>
      </c>
      <c r="K83" s="18">
        <f t="shared" si="20"/>
        <v>4.1895442960537361E-3</v>
      </c>
      <c r="L83" s="19">
        <f t="shared" ref="L83:L103" si="31">$G83*($L$17^(($B$7+$B$6)/$B$6))+($K83*$L$17)-(1-$B$16-$B$12)*$B$8*(($F$4/$B$8)^(1/$B$7))</f>
        <v>-2.1114999962542902E-3</v>
      </c>
      <c r="M83" s="19">
        <f t="shared" si="7"/>
        <v>7.387246731188693E-2</v>
      </c>
      <c r="N83" s="19">
        <f t="shared" si="8"/>
        <v>4.5161945797081091E-2</v>
      </c>
      <c r="O83" s="19">
        <f t="shared" ref="O83:O103" si="32">$G83*(P83^(1/$B$7+1/$B$6))+($K83*P83^(1/$B$7))-(1-$B$16-$B$12)*$B$8*(($F$4/$B$8)^(1/$B$7))</f>
        <v>8.3447643239864533E-8</v>
      </c>
      <c r="P83" s="21">
        <f t="shared" ref="P83:P103" si="33">($L$17-(M83/N83)*(1-SQRT(1-2*L83*N83/(M83^2))))^$B$7</f>
        <v>38.442034142608144</v>
      </c>
      <c r="Q83" s="9">
        <f t="shared" si="21"/>
        <v>0.52531552007615057</v>
      </c>
      <c r="R83" s="9">
        <f t="shared" ref="R83:R103" si="34">$P83^(($B$7-1)/$B$7)</f>
        <v>6.2001640415885886</v>
      </c>
      <c r="S83" s="6">
        <f t="shared" si="22"/>
        <v>2.4776604555625185E-2</v>
      </c>
      <c r="T83" s="6">
        <f t="shared" ref="T83:T103" si="35">S83-($B$4*$B$9*$B$8/$H83)</f>
        <v>2.3364450566942151E-2</v>
      </c>
      <c r="U83" s="6">
        <f t="shared" ref="U83:U103" si="36">$B$6*T83/(T83-$B$8*$B$11/$H83-($B83/$H83-1+LN($H83/$B83))*$B$8/$B$5)</f>
        <v>0.5345335124446714</v>
      </c>
      <c r="V83" s="6">
        <f t="shared" ref="V83:V103" si="37">LN(H83/C83)</f>
        <v>1.624158731929928E-2</v>
      </c>
      <c r="W83" s="6">
        <f t="shared" ref="W83:W103" si="38">LN(Q83/D83)</f>
        <v>-4.9825244564446487E-2</v>
      </c>
      <c r="X83" s="6">
        <f t="shared" ref="X83:X103" si="39">LN(P83/$B$15)</f>
        <v>-3.358365724514735E-2</v>
      </c>
      <c r="Y83">
        <f t="shared" ref="Y83:Y103" si="40">$G$4-($B$4*$B$9+$B$11+($B83-$H83+$H83*LN($H83/$B83))/$B$5)*$B$8*$Q83</f>
        <v>0.82585714688274436</v>
      </c>
      <c r="AA83" s="43">
        <f t="shared" si="23"/>
        <v>73</v>
      </c>
      <c r="AB83" s="6">
        <f t="shared" si="24"/>
        <v>0.99132624629793087</v>
      </c>
      <c r="AC83" s="6">
        <f>VLOOKUP($C83,'hours (1)'!$A$19:$P$103,16)</f>
        <v>0.14716606785038841</v>
      </c>
      <c r="AD83" s="6">
        <f t="shared" si="25"/>
        <v>0.99557994162157559</v>
      </c>
    </row>
    <row r="84" spans="1:30" x14ac:dyDescent="0.25">
      <c r="A84" s="39">
        <f>'hours (1)'!$A84*'hours (1)'!$B84/'hours (1)'!$A$105</f>
        <v>4.7034308094518462E-5</v>
      </c>
      <c r="B84" s="9">
        <f>'hours (4)'!$E84</f>
        <v>71.194425019587612</v>
      </c>
      <c r="C84" s="26">
        <f t="shared" ref="C84:C103" si="41">$B$5*($B$4*$B$9*(1-$B$16)+$B$11)+$B84</f>
        <v>73</v>
      </c>
      <c r="D84" s="25">
        <f t="shared" si="26"/>
        <v>0.54458878946054512</v>
      </c>
      <c r="E84" s="25">
        <f t="shared" ref="E84:E103" si="42">(($B$4*$B$9+$B$11)/$C84+($B84/$C84-1+LN($C84/$B84))/$B$5)*$B$8</f>
        <v>2.873832214469733E-3</v>
      </c>
      <c r="F84" s="25">
        <f t="shared" si="27"/>
        <v>2.5199283265158927E-3</v>
      </c>
      <c r="G84" s="30">
        <f t="shared" si="28"/>
        <v>9.6259669638304738E-6</v>
      </c>
      <c r="H84" s="9">
        <f>'hours (4)'!$K84</f>
        <v>74.178942318390909</v>
      </c>
      <c r="I84" s="7">
        <f t="shared" si="29"/>
        <v>6.4000000032026785</v>
      </c>
      <c r="J84" s="9">
        <f t="shared" si="30"/>
        <v>0.16426319432738509</v>
      </c>
      <c r="K84" s="18">
        <f t="shared" ref="K84:K103" si="43">J84*$B$8</f>
        <v>4.1318895793645014E-3</v>
      </c>
      <c r="L84" s="19">
        <f t="shared" si="31"/>
        <v>-2.2803988096851691E-3</v>
      </c>
      <c r="M84" s="19">
        <f t="shared" ref="M84:M103" si="44">$G84*($B$7+$B$6)*($L$17^($B$7/$B$6))/$B$6+$K84</f>
        <v>7.3966255684040055E-2</v>
      </c>
      <c r="N84" s="19">
        <f t="shared" ref="N84:N103" si="45">$G84*($B$7+$B$6)*$B$7*($L$17^($B$7/$B$6-1))/($B$6^2)</f>
        <v>4.526009702658803E-2</v>
      </c>
      <c r="O84" s="19">
        <f t="shared" si="32"/>
        <v>1.0475108205842965E-7</v>
      </c>
      <c r="P84" s="21">
        <f t="shared" si="33"/>
        <v>38.469409385933275</v>
      </c>
      <c r="Q84" s="9">
        <f t="shared" ref="Q84:Q103" si="46">$P84/$H84</f>
        <v>0.51860282963883264</v>
      </c>
      <c r="R84" s="9">
        <f t="shared" si="34"/>
        <v>6.2023712712101711</v>
      </c>
      <c r="S84" s="6">
        <f t="shared" ref="S84:S103" si="47">$B$8*($G$4/($B$8*$P84))^(1/$B$7)</f>
        <v>2.4767787338289091E-2</v>
      </c>
      <c r="T84" s="6">
        <f t="shared" si="35"/>
        <v>2.3374670477186305E-2</v>
      </c>
      <c r="U84" s="6">
        <f t="shared" si="36"/>
        <v>0.53399169512201705</v>
      </c>
      <c r="V84" s="6">
        <f t="shared" si="37"/>
        <v>1.6020872499066922E-2</v>
      </c>
      <c r="W84" s="6">
        <f t="shared" si="38"/>
        <v>-4.8892665729569629E-2</v>
      </c>
      <c r="X84" s="6">
        <f t="shared" si="39"/>
        <v>-3.2871793230502808E-2</v>
      </c>
      <c r="Y84">
        <f t="shared" si="40"/>
        <v>0.82733755726510516</v>
      </c>
      <c r="AA84" s="43">
        <f t="shared" ref="AA84:AA103" si="48">ROUND($H84,0)</f>
        <v>74</v>
      </c>
      <c r="AB84" s="6">
        <f t="shared" si="24"/>
        <v>0.99135229243402734</v>
      </c>
      <c r="AC84" s="6">
        <f>VLOOKUP($C84,'hours (1)'!$A$19:$P$103,16)</f>
        <v>0.79661529955454524</v>
      </c>
      <c r="AD84" s="6">
        <f t="shared" si="25"/>
        <v>0.99562389280864627</v>
      </c>
    </row>
    <row r="85" spans="1:30" x14ac:dyDescent="0.25">
      <c r="A85" s="39">
        <f>'hours (1)'!$A85*'hours (1)'!$B85/'hours (1)'!$A$105</f>
        <v>1.7375672303408316E-4</v>
      </c>
      <c r="B85" s="9">
        <f>'hours (4)'!$E85</f>
        <v>72.194425019587612</v>
      </c>
      <c r="C85" s="26">
        <f t="shared" si="41"/>
        <v>74</v>
      </c>
      <c r="D85" s="25">
        <f t="shared" si="26"/>
        <v>0.53722948149486205</v>
      </c>
      <c r="E85" s="25">
        <f t="shared" si="42"/>
        <v>2.8345725407922817E-3</v>
      </c>
      <c r="F85" s="25">
        <f t="shared" si="27"/>
        <v>2.4854511378107906E-3</v>
      </c>
      <c r="G85" s="30">
        <f t="shared" si="28"/>
        <v>9.6462706316019272E-6</v>
      </c>
      <c r="H85" s="9">
        <f>'hours (4)'!$K85</f>
        <v>75.178942318390909</v>
      </c>
      <c r="I85" s="7">
        <f t="shared" si="29"/>
        <v>6.4000000032026785</v>
      </c>
      <c r="J85" s="9">
        <f t="shared" si="30"/>
        <v>0.16203336903234708</v>
      </c>
      <c r="K85" s="18">
        <f t="shared" si="43"/>
        <v>4.075800374852819E-3</v>
      </c>
      <c r="L85" s="19">
        <f t="shared" si="31"/>
        <v>-2.4447510704688896E-3</v>
      </c>
      <c r="M85" s="19">
        <f t="shared" si="44"/>
        <v>7.4057465319608246E-2</v>
      </c>
      <c r="N85" s="19">
        <f t="shared" si="45"/>
        <v>4.5355562342102251E-2</v>
      </c>
      <c r="O85" s="19">
        <f t="shared" si="32"/>
        <v>1.2863487232339654E-7</v>
      </c>
      <c r="P85" s="21">
        <f t="shared" si="33"/>
        <v>38.495955220595967</v>
      </c>
      <c r="Q85" s="9">
        <f t="shared" si="46"/>
        <v>0.51205768574877597</v>
      </c>
      <c r="R85" s="9">
        <f t="shared" si="34"/>
        <v>6.2045108768214732</v>
      </c>
      <c r="S85" s="6">
        <f t="shared" si="47"/>
        <v>2.4759246246522048E-2</v>
      </c>
      <c r="T85" s="6">
        <f t="shared" si="35"/>
        <v>2.3384660064598051E-2</v>
      </c>
      <c r="U85" s="6">
        <f t="shared" si="36"/>
        <v>0.53346650770196546</v>
      </c>
      <c r="V85" s="6">
        <f t="shared" si="37"/>
        <v>1.5806076176219243E-2</v>
      </c>
      <c r="W85" s="6">
        <f t="shared" si="38"/>
        <v>-4.7988056895573887E-2</v>
      </c>
      <c r="X85" s="6">
        <f t="shared" si="39"/>
        <v>-3.2181980719354866E-2</v>
      </c>
      <c r="Y85">
        <f t="shared" si="40"/>
        <v>0.82877978353992765</v>
      </c>
      <c r="AA85" s="43">
        <f t="shared" si="48"/>
        <v>75</v>
      </c>
      <c r="AB85" s="6">
        <f t="shared" ref="AB85:AB103" si="49">$Q85*$A85/$Q$16+AB84</f>
        <v>0.99144729912021867</v>
      </c>
      <c r="AC85" s="6">
        <f>VLOOKUP($C85,'hours (1)'!$A$19:$P$103,16)</f>
        <v>0.36023021330378235</v>
      </c>
      <c r="AD85" s="6">
        <f t="shared" ref="AD85:AD103" si="50">$Q85*$A85*AC85/$Q$17+AD84</f>
        <v>0.99569638862860765</v>
      </c>
    </row>
    <row r="86" spans="1:30" x14ac:dyDescent="0.25">
      <c r="A86" s="39">
        <f>'hours (1)'!$A86*'hours (1)'!$B86/'hours (1)'!$A$105</f>
        <v>1.7556794325002622E-3</v>
      </c>
      <c r="B86" s="9">
        <f>'hours (4)'!$E86</f>
        <v>73.194425019587612</v>
      </c>
      <c r="C86" s="26">
        <f t="shared" si="41"/>
        <v>75</v>
      </c>
      <c r="D86" s="25">
        <f t="shared" si="26"/>
        <v>0.53006642174159724</v>
      </c>
      <c r="E86" s="25">
        <f t="shared" si="42"/>
        <v>2.796371133524917E-3</v>
      </c>
      <c r="F86" s="25">
        <f t="shared" si="27"/>
        <v>2.4519046825831792E-3</v>
      </c>
      <c r="G86" s="30">
        <f t="shared" si="28"/>
        <v>9.6660261890424477E-6</v>
      </c>
      <c r="H86" s="9">
        <f>'hours (4)'!$K86</f>
        <v>76.178942318390909</v>
      </c>
      <c r="I86" s="7">
        <f t="shared" si="29"/>
        <v>6.4000000032026785</v>
      </c>
      <c r="J86" s="9">
        <f t="shared" si="30"/>
        <v>0.15986327936651568</v>
      </c>
      <c r="K86" s="18">
        <f t="shared" si="43"/>
        <v>4.0212137651545769E-3</v>
      </c>
      <c r="L86" s="19">
        <f t="shared" si="31"/>
        <v>-2.6047379380653851E-3</v>
      </c>
      <c r="M86" s="19">
        <f t="shared" si="44"/>
        <v>7.4146201124799554E-2</v>
      </c>
      <c r="N86" s="19">
        <f t="shared" si="45"/>
        <v>4.544845051114875E-2</v>
      </c>
      <c r="O86" s="19">
        <f t="shared" si="32"/>
        <v>1.5506619883975947E-7</v>
      </c>
      <c r="P86" s="21">
        <f t="shared" si="33"/>
        <v>38.521708810904265</v>
      </c>
      <c r="Q86" s="9">
        <f t="shared" si="46"/>
        <v>0.50567397811723702</v>
      </c>
      <c r="R86" s="9">
        <f t="shared" si="34"/>
        <v>6.2065859223009445</v>
      </c>
      <c r="S86" s="6">
        <f t="shared" si="47"/>
        <v>2.4750968497266317E-2</v>
      </c>
      <c r="T86" s="6">
        <f t="shared" si="35"/>
        <v>2.3394426490544684E-2</v>
      </c>
      <c r="U86" s="6">
        <f t="shared" si="36"/>
        <v>0.53295720058632456</v>
      </c>
      <c r="V86" s="6">
        <f t="shared" si="37"/>
        <v>1.5596963437597587E-2</v>
      </c>
      <c r="W86" s="6">
        <f t="shared" si="38"/>
        <v>-4.7110173126513603E-2</v>
      </c>
      <c r="X86" s="6">
        <f t="shared" si="39"/>
        <v>-3.1513209688916105E-2</v>
      </c>
      <c r="Y86">
        <f t="shared" si="40"/>
        <v>0.83018526875916132</v>
      </c>
      <c r="AA86" s="43">
        <f t="shared" si="48"/>
        <v>76</v>
      </c>
      <c r="AB86" s="6">
        <f t="shared" si="49"/>
        <v>0.99239530163797329</v>
      </c>
      <c r="AC86" s="6">
        <f>VLOOKUP($C86,'hours (1)'!$A$19:$P$103,16)</f>
        <v>0.31945577165479933</v>
      </c>
      <c r="AD86" s="6">
        <f t="shared" si="50"/>
        <v>0.99633789192230393</v>
      </c>
    </row>
    <row r="87" spans="1:30" x14ac:dyDescent="0.25">
      <c r="A87" s="39">
        <f>'hours (1)'!$A87*'hours (1)'!$B87/'hours (1)'!$A$105</f>
        <v>1.5110147583296491E-4</v>
      </c>
      <c r="B87" s="9">
        <f>'hours (4)'!$E87</f>
        <v>74.194425019587612</v>
      </c>
      <c r="C87" s="26">
        <f t="shared" si="41"/>
        <v>76</v>
      </c>
      <c r="D87" s="25">
        <f t="shared" si="26"/>
        <v>0.52309186356078674</v>
      </c>
      <c r="E87" s="25">
        <f t="shared" si="42"/>
        <v>2.7591857700135954E-3</v>
      </c>
      <c r="F87" s="25">
        <f t="shared" si="27"/>
        <v>2.4192517723737221E-3</v>
      </c>
      <c r="G87" s="30">
        <f t="shared" si="28"/>
        <v>9.6852555364911215E-6</v>
      </c>
      <c r="H87" s="9">
        <f>'hours (4)'!$K87</f>
        <v>77.178942318390909</v>
      </c>
      <c r="I87" s="7">
        <f t="shared" si="29"/>
        <v>6.4000000032026785</v>
      </c>
      <c r="J87" s="9">
        <f t="shared" si="30"/>
        <v>0.15775055633047996</v>
      </c>
      <c r="K87" s="18">
        <f t="shared" si="43"/>
        <v>3.9680701602683791E-3</v>
      </c>
      <c r="L87" s="19">
        <f t="shared" si="31"/>
        <v>-2.7605310727578936E-3</v>
      </c>
      <c r="M87" s="19">
        <f t="shared" si="44"/>
        <v>7.4232562391967294E-2</v>
      </c>
      <c r="N87" s="19">
        <f t="shared" si="45"/>
        <v>4.5538864506392572E-2</v>
      </c>
      <c r="O87" s="19">
        <f t="shared" si="32"/>
        <v>1.8399797083179514E-7</v>
      </c>
      <c r="P87" s="21">
        <f t="shared" si="33"/>
        <v>38.546705132037332</v>
      </c>
      <c r="Q87" s="9">
        <f t="shared" si="46"/>
        <v>0.49944588477279594</v>
      </c>
      <c r="R87" s="9">
        <f t="shared" si="34"/>
        <v>6.2085992890536374</v>
      </c>
      <c r="S87" s="6">
        <f t="shared" si="47"/>
        <v>2.4742942085067804E-2</v>
      </c>
      <c r="T87" s="6">
        <f t="shared" si="35"/>
        <v>2.3403976660325301E-2</v>
      </c>
      <c r="U87" s="6">
        <f t="shared" si="36"/>
        <v>0.53246306831821422</v>
      </c>
      <c r="V87" s="6">
        <f t="shared" si="37"/>
        <v>1.539331163997977E-2</v>
      </c>
      <c r="W87" s="6">
        <f t="shared" si="38"/>
        <v>-4.6257842558158908E-2</v>
      </c>
      <c r="X87" s="6">
        <f t="shared" si="39"/>
        <v>-3.0864530918179305E-2</v>
      </c>
      <c r="Y87">
        <f t="shared" si="40"/>
        <v>0.83155538510893967</v>
      </c>
      <c r="AA87" s="43">
        <f t="shared" si="48"/>
        <v>77</v>
      </c>
      <c r="AB87" s="6">
        <f t="shared" si="49"/>
        <v>0.99247588600686942</v>
      </c>
      <c r="AC87" s="6">
        <f>VLOOKUP($C87,'hours (1)'!$A$19:$P$103,16)</f>
        <v>9.7084790473669302E-2</v>
      </c>
      <c r="AD87" s="6">
        <f t="shared" si="50"/>
        <v>0.99635446414144369</v>
      </c>
    </row>
    <row r="88" spans="1:30" x14ac:dyDescent="0.25">
      <c r="A88" s="39">
        <f>'hours (1)'!$A88*'hours (1)'!$B88/'hours (1)'!$A$105</f>
        <v>2.3364851589299888E-4</v>
      </c>
      <c r="B88" s="9">
        <f>'hours (4)'!$E88</f>
        <v>75.194425019587612</v>
      </c>
      <c r="C88" s="26">
        <f t="shared" si="41"/>
        <v>77</v>
      </c>
      <c r="D88" s="25">
        <f t="shared" si="26"/>
        <v>0.51629846273532198</v>
      </c>
      <c r="E88" s="25">
        <f t="shared" si="42"/>
        <v>2.7229764443788577E-3</v>
      </c>
      <c r="F88" s="25">
        <f t="shared" si="27"/>
        <v>2.3874571739810608E-3</v>
      </c>
      <c r="G88" s="30">
        <f t="shared" si="28"/>
        <v>9.7039794228326942E-6</v>
      </c>
      <c r="H88" s="9">
        <f>'hours (4)'!$K88</f>
        <v>78.178942318390909</v>
      </c>
      <c r="I88" s="7">
        <f t="shared" si="29"/>
        <v>6.4000000032026785</v>
      </c>
      <c r="J88" s="9">
        <f t="shared" si="30"/>
        <v>0.15569295457266366</v>
      </c>
      <c r="K88" s="18">
        <f t="shared" si="43"/>
        <v>3.9163130804403881E-3</v>
      </c>
      <c r="L88" s="19">
        <f t="shared" si="31"/>
        <v>-2.912293250264833E-3</v>
      </c>
      <c r="M88" s="19">
        <f t="shared" si="44"/>
        <v>7.4316643170153268E-2</v>
      </c>
      <c r="N88" s="19">
        <f t="shared" si="45"/>
        <v>4.5626901886503958E-2</v>
      </c>
      <c r="O88" s="19">
        <f t="shared" si="32"/>
        <v>2.1537172853469677E-7</v>
      </c>
      <c r="P88" s="21">
        <f t="shared" si="33"/>
        <v>38.57097712896573</v>
      </c>
      <c r="Q88" s="9">
        <f t="shared" si="46"/>
        <v>0.49336785565455582</v>
      </c>
      <c r="R88" s="9">
        <f t="shared" si="34"/>
        <v>6.2105536894036852</v>
      </c>
      <c r="S88" s="6">
        <f t="shared" si="47"/>
        <v>2.4735155723804268E-2</v>
      </c>
      <c r="T88" s="6">
        <f t="shared" si="35"/>
        <v>2.3413317231008344E-2</v>
      </c>
      <c r="U88" s="6">
        <f t="shared" si="36"/>
        <v>0.53198344639661221</v>
      </c>
      <c r="V88" s="6">
        <f t="shared" si="37"/>
        <v>1.5194909619289005E-2</v>
      </c>
      <c r="W88" s="6">
        <f t="shared" si="38"/>
        <v>-4.5429961097260815E-2</v>
      </c>
      <c r="X88" s="6">
        <f t="shared" si="39"/>
        <v>-3.0235051477972043E-2</v>
      </c>
      <c r="Y88">
        <f t="shared" si="40"/>
        <v>0.83289143813525368</v>
      </c>
      <c r="AA88" s="43">
        <f t="shared" si="48"/>
        <v>78</v>
      </c>
      <c r="AB88" s="6">
        <f t="shared" si="49"/>
        <v>0.9925989773586491</v>
      </c>
      <c r="AC88" s="6">
        <f>VLOOKUP($C88,'hours (1)'!$A$19:$P$103,16)</f>
        <v>0.16786469164474194</v>
      </c>
      <c r="AD88" s="6">
        <f t="shared" si="50"/>
        <v>0.99639823303407027</v>
      </c>
    </row>
    <row r="89" spans="1:30" x14ac:dyDescent="0.25">
      <c r="A89" s="39">
        <f>'hours (1)'!$A89*'hours (1)'!$B89/'hours (1)'!$A$105</f>
        <v>1.7934446906268614E-4</v>
      </c>
      <c r="B89" s="9">
        <f>'hours (4)'!$E89</f>
        <v>76.194425019587612</v>
      </c>
      <c r="C89" s="26">
        <f t="shared" si="41"/>
        <v>78</v>
      </c>
      <c r="D89" s="25">
        <f t="shared" si="26"/>
        <v>0.50967925167461281</v>
      </c>
      <c r="E89" s="25">
        <f t="shared" si="42"/>
        <v>2.6877052239114487E-3</v>
      </c>
      <c r="F89" s="25">
        <f t="shared" si="27"/>
        <v>2.3564874826213162E-3</v>
      </c>
      <c r="G89" s="30">
        <f t="shared" si="28"/>
        <v>9.7222175201941441E-6</v>
      </c>
      <c r="H89" s="9">
        <f>'hours (4)'!$K89</f>
        <v>79.178942318390909</v>
      </c>
      <c r="I89" s="7">
        <f t="shared" si="29"/>
        <v>6.4000000032026785</v>
      </c>
      <c r="J89" s="9">
        <f t="shared" si="30"/>
        <v>0.15368834442514137</v>
      </c>
      <c r="K89" s="18">
        <f t="shared" si="43"/>
        <v>3.8658889558326106E-3</v>
      </c>
      <c r="L89" s="19">
        <f t="shared" si="31"/>
        <v>-3.0601789292401677E-3</v>
      </c>
      <c r="M89" s="19">
        <f t="shared" si="44"/>
        <v>7.4398532606663847E-2</v>
      </c>
      <c r="N89" s="19">
        <f t="shared" si="45"/>
        <v>4.5712655147372321E-2</v>
      </c>
      <c r="O89" s="19">
        <f t="shared" si="32"/>
        <v>2.4912008923794193E-7</v>
      </c>
      <c r="P89" s="21">
        <f t="shared" si="33"/>
        <v>38.594555861722093</v>
      </c>
      <c r="Q89" s="9">
        <f t="shared" si="46"/>
        <v>0.48743459727622213</v>
      </c>
      <c r="R89" s="9">
        <f t="shared" si="34"/>
        <v>6.2124516788239159</v>
      </c>
      <c r="S89" s="6">
        <f t="shared" si="47"/>
        <v>2.4727598793577901E-2</v>
      </c>
      <c r="T89" s="6">
        <f t="shared" si="35"/>
        <v>2.3422454619423928E-2</v>
      </c>
      <c r="U89" s="6">
        <f t="shared" si="36"/>
        <v>0.53151770836146905</v>
      </c>
      <c r="V89" s="6">
        <f t="shared" si="37"/>
        <v>1.5001556960186391E-2</v>
      </c>
      <c r="W89" s="6">
        <f t="shared" si="38"/>
        <v>-4.4625487576904779E-2</v>
      </c>
      <c r="X89" s="6">
        <f t="shared" si="39"/>
        <v>-2.9623930616718183E-2</v>
      </c>
      <c r="Y89">
        <f t="shared" si="40"/>
        <v>0.83419467067734121</v>
      </c>
      <c r="AA89" s="43">
        <f t="shared" si="48"/>
        <v>79</v>
      </c>
      <c r="AB89" s="6">
        <f t="shared" si="49"/>
        <v>0.99269232385092299</v>
      </c>
      <c r="AC89" s="6">
        <f>VLOOKUP($C89,'hours (1)'!$A$19:$P$103,16)</f>
        <v>4.9492361336892138E-2</v>
      </c>
      <c r="AD89" s="6">
        <f t="shared" si="50"/>
        <v>0.99640801925100408</v>
      </c>
    </row>
    <row r="90" spans="1:30" x14ac:dyDescent="0.25">
      <c r="A90" s="39">
        <f>'hours (1)'!$A90*'hours (1)'!$B90/'hours (1)'!$A$105</f>
        <v>7.8487843095564717E-3</v>
      </c>
      <c r="B90" s="9">
        <f>'hours (4)'!$E90</f>
        <v>78.194425019587612</v>
      </c>
      <c r="C90" s="26">
        <f t="shared" si="41"/>
        <v>80</v>
      </c>
      <c r="D90" s="25">
        <f t="shared" si="26"/>
        <v>0.49693727038274743</v>
      </c>
      <c r="E90" s="25">
        <f t="shared" si="42"/>
        <v>2.6198349480388724E-3</v>
      </c>
      <c r="F90" s="25">
        <f t="shared" si="27"/>
        <v>2.2968976502809931E-3</v>
      </c>
      <c r="G90" s="30">
        <f t="shared" si="28"/>
        <v>9.7573100611998258E-6</v>
      </c>
      <c r="H90" s="9">
        <f>'hours (4)'!$K90</f>
        <v>81.178942318390909</v>
      </c>
      <c r="I90" s="7">
        <f t="shared" si="29"/>
        <v>6.4000000032026785</v>
      </c>
      <c r="J90" s="9">
        <f t="shared" si="30"/>
        <v>0.14983011512369127</v>
      </c>
      <c r="K90" s="18">
        <f t="shared" si="43"/>
        <v>3.7688387461935133E-3</v>
      </c>
      <c r="L90" s="19">
        <f t="shared" si="31"/>
        <v>-3.3449001489542357E-3</v>
      </c>
      <c r="M90" s="19">
        <f t="shared" si="44"/>
        <v>7.4556071402507779E-2</v>
      </c>
      <c r="N90" s="19">
        <f t="shared" si="45"/>
        <v>4.5877655901768698E-2</v>
      </c>
      <c r="O90" s="19">
        <f t="shared" si="32"/>
        <v>3.2343848446747536E-7</v>
      </c>
      <c r="P90" s="21">
        <f t="shared" si="33"/>
        <v>38.639749136870392</v>
      </c>
      <c r="Q90" s="9">
        <f t="shared" si="46"/>
        <v>0.47598241654001744</v>
      </c>
      <c r="R90" s="9">
        <f t="shared" si="34"/>
        <v>6.2160879286630424</v>
      </c>
      <c r="S90" s="6">
        <f t="shared" si="47"/>
        <v>2.471313379112507E-2</v>
      </c>
      <c r="T90" s="6">
        <f t="shared" si="35"/>
        <v>2.3440144363925917E-2</v>
      </c>
      <c r="U90" s="6">
        <f t="shared" si="36"/>
        <v>0.53062555251233845</v>
      </c>
      <c r="V90" s="6">
        <f t="shared" si="37"/>
        <v>1.4629247807339041E-2</v>
      </c>
      <c r="W90" s="6">
        <f t="shared" si="38"/>
        <v>-4.308288808980465E-2</v>
      </c>
      <c r="X90" s="6">
        <f t="shared" si="39"/>
        <v>-2.8453640282465695E-2</v>
      </c>
      <c r="Y90">
        <f t="shared" si="40"/>
        <v>0.83670735386547002</v>
      </c>
      <c r="AA90" s="43">
        <f t="shared" si="48"/>
        <v>81</v>
      </c>
      <c r="AB90" s="6">
        <f t="shared" si="49"/>
        <v>0.99668153448309349</v>
      </c>
      <c r="AC90" s="6">
        <f>VLOOKUP($C90,'hours (1)'!$A$19:$P$103,16)</f>
        <v>0.253388979833571</v>
      </c>
      <c r="AD90" s="6">
        <f t="shared" si="50"/>
        <v>0.99854920010643056</v>
      </c>
    </row>
    <row r="91" spans="1:30" x14ac:dyDescent="0.25">
      <c r="A91" s="39">
        <f>'hours (1)'!$A91*'hours (1)'!$B91/'hours (1)'!$A$105</f>
        <v>9.4027535741569827E-5</v>
      </c>
      <c r="B91" s="9">
        <f>'hours (4)'!$E91</f>
        <v>80.194425019587612</v>
      </c>
      <c r="C91" s="26">
        <f t="shared" si="41"/>
        <v>82</v>
      </c>
      <c r="D91" s="25">
        <f t="shared" si="26"/>
        <v>0.48481684915389994</v>
      </c>
      <c r="E91" s="25">
        <f t="shared" si="42"/>
        <v>2.5553081501955076E-3</v>
      </c>
      <c r="F91" s="25">
        <f t="shared" si="27"/>
        <v>2.2402473718951374E-3</v>
      </c>
      <c r="G91" s="30">
        <f t="shared" si="28"/>
        <v>9.7906714945041772E-6</v>
      </c>
      <c r="H91" s="9">
        <f>'hours (4)'!$K91</f>
        <v>83.178942318390909</v>
      </c>
      <c r="I91" s="7">
        <f t="shared" si="29"/>
        <v>6.4000000032026785</v>
      </c>
      <c r="J91" s="9">
        <f t="shared" si="30"/>
        <v>0.14616087869253477</v>
      </c>
      <c r="K91" s="18">
        <f t="shared" si="43"/>
        <v>3.6765424783886656E-3</v>
      </c>
      <c r="L91" s="19">
        <f t="shared" si="31"/>
        <v>-3.6157830390749629E-3</v>
      </c>
      <c r="M91" s="19">
        <f t="shared" si="44"/>
        <v>7.4705805317842655E-2</v>
      </c>
      <c r="N91" s="19">
        <f t="shared" si="45"/>
        <v>4.6034517203492942E-2</v>
      </c>
      <c r="O91" s="19">
        <f t="shared" si="32"/>
        <v>4.0630591359447354E-7</v>
      </c>
      <c r="P91" s="21">
        <f t="shared" si="33"/>
        <v>38.682500522654742</v>
      </c>
      <c r="Q91" s="9">
        <f t="shared" si="46"/>
        <v>0.46505160374108317</v>
      </c>
      <c r="R91" s="9">
        <f t="shared" si="34"/>
        <v>6.2195257474066894</v>
      </c>
      <c r="S91" s="6">
        <f t="shared" si="47"/>
        <v>2.4699473702235367E-2</v>
      </c>
      <c r="T91" s="6">
        <f t="shared" si="35"/>
        <v>2.3457092729332892E-2</v>
      </c>
      <c r="U91" s="6">
        <f t="shared" si="36"/>
        <v>0.52978225378185939</v>
      </c>
      <c r="V91" s="6">
        <f t="shared" si="37"/>
        <v>1.427497139369999E-2</v>
      </c>
      <c r="W91" s="6">
        <f t="shared" si="38"/>
        <v>-4.1622813789298101E-2</v>
      </c>
      <c r="X91" s="6">
        <f t="shared" si="39"/>
        <v>-2.7347842395598131E-2</v>
      </c>
      <c r="Y91">
        <f t="shared" si="40"/>
        <v>0.83910225640103719</v>
      </c>
      <c r="AA91" s="43">
        <f t="shared" si="48"/>
        <v>83</v>
      </c>
      <c r="AB91" s="6">
        <f t="shared" si="49"/>
        <v>0.99672822727736465</v>
      </c>
      <c r="AC91" s="6">
        <f>VLOOKUP($C91,'hours (1)'!$A$19:$P$103,16)</f>
        <v>0</v>
      </c>
      <c r="AD91" s="6">
        <f t="shared" si="50"/>
        <v>0.99854920010643056</v>
      </c>
    </row>
    <row r="92" spans="1:30" x14ac:dyDescent="0.25">
      <c r="A92" s="39">
        <f>'hours (1)'!$A92*'hours (1)'!$B92/'hours (1)'!$A$105</f>
        <v>1.5392736740416385E-3</v>
      </c>
      <c r="B92" s="9">
        <f>'hours (4)'!$E92</f>
        <v>82.194425019587612</v>
      </c>
      <c r="C92" s="26">
        <f t="shared" si="41"/>
        <v>84</v>
      </c>
      <c r="D92" s="25">
        <f t="shared" si="26"/>
        <v>0.47327359084071186</v>
      </c>
      <c r="E92" s="25">
        <f t="shared" si="42"/>
        <v>2.4938836946941097E-3</v>
      </c>
      <c r="F92" s="25">
        <f t="shared" si="27"/>
        <v>2.1863243634961294E-3</v>
      </c>
      <c r="G92" s="30">
        <f t="shared" si="28"/>
        <v>9.8224268344518539E-6</v>
      </c>
      <c r="H92" s="9">
        <f>'hours (4)'!$K92</f>
        <v>85.178942318390909</v>
      </c>
      <c r="I92" s="7">
        <f t="shared" si="29"/>
        <v>6.4000000032026785</v>
      </c>
      <c r="J92" s="9">
        <f t="shared" si="30"/>
        <v>0.14266707913526869</v>
      </c>
      <c r="K92" s="18">
        <f t="shared" si="43"/>
        <v>3.5886591637960832E-3</v>
      </c>
      <c r="L92" s="19">
        <f t="shared" si="31"/>
        <v>-3.8738126111670657E-3</v>
      </c>
      <c r="M92" s="19">
        <f t="shared" si="44"/>
        <v>7.4848300316828043E-2</v>
      </c>
      <c r="N92" s="19">
        <f t="shared" si="45"/>
        <v>4.6183826854413683E-2</v>
      </c>
      <c r="O92" s="19">
        <f t="shared" si="32"/>
        <v>4.9703371884923797E-7</v>
      </c>
      <c r="P92" s="21">
        <f t="shared" si="33"/>
        <v>38.723002869848862</v>
      </c>
      <c r="Q92" s="9">
        <f t="shared" si="46"/>
        <v>0.45460769781697807</v>
      </c>
      <c r="R92" s="9">
        <f t="shared" si="34"/>
        <v>6.2227809594946262</v>
      </c>
      <c r="S92" s="6">
        <f t="shared" si="47"/>
        <v>2.4686553108390824E-2</v>
      </c>
      <c r="T92" s="6">
        <f t="shared" si="35"/>
        <v>2.3473343217896452E-2</v>
      </c>
      <c r="U92" s="6">
        <f t="shared" si="36"/>
        <v>0.52898392413071016</v>
      </c>
      <c r="V92" s="6">
        <f t="shared" si="37"/>
        <v>1.3937448556475869E-2</v>
      </c>
      <c r="W92" s="6">
        <f t="shared" si="38"/>
        <v>-4.0238792987062087E-2</v>
      </c>
      <c r="X92" s="6">
        <f t="shared" si="39"/>
        <v>-2.6301344430586064E-2</v>
      </c>
      <c r="Y92">
        <f t="shared" si="40"/>
        <v>0.8413874069021996</v>
      </c>
      <c r="AA92" s="43">
        <f t="shared" si="48"/>
        <v>85</v>
      </c>
      <c r="AB92" s="6">
        <f t="shared" si="49"/>
        <v>0.99747544349771378</v>
      </c>
      <c r="AC92" s="6">
        <f>VLOOKUP($C92,'hours (1)'!$A$19:$P$103,16)</f>
        <v>0.12384700904139835</v>
      </c>
      <c r="AD92" s="6">
        <f t="shared" si="50"/>
        <v>0.99874522466037086</v>
      </c>
    </row>
    <row r="93" spans="1:30" x14ac:dyDescent="0.25">
      <c r="A93" s="39">
        <f>'hours (1)'!$A93*'hours (1)'!$B93/'hours (1)'!$A$105</f>
        <v>6.3559081061839761E-4</v>
      </c>
      <c r="B93" s="9">
        <f>'hours (4)'!$E93</f>
        <v>83.194425019587612</v>
      </c>
      <c r="C93" s="26">
        <f t="shared" si="41"/>
        <v>85</v>
      </c>
      <c r="D93" s="25">
        <f t="shared" si="26"/>
        <v>0.4677056662425858</v>
      </c>
      <c r="E93" s="25">
        <f t="shared" si="42"/>
        <v>2.4642657558685802E-3</v>
      </c>
      <c r="F93" s="25">
        <f t="shared" si="27"/>
        <v>2.1603247697435175E-3</v>
      </c>
      <c r="G93" s="30">
        <f t="shared" si="28"/>
        <v>9.8377380339310502E-6</v>
      </c>
      <c r="H93" s="9">
        <f>'hours (4)'!$K93</f>
        <v>86.178942318390909</v>
      </c>
      <c r="I93" s="7">
        <f t="shared" si="29"/>
        <v>6.4000000032026785</v>
      </c>
      <c r="J93" s="9">
        <f t="shared" si="30"/>
        <v>0.14098208228229081</v>
      </c>
      <c r="K93" s="18">
        <f t="shared" si="43"/>
        <v>3.5462746176621197E-3</v>
      </c>
      <c r="L93" s="19">
        <f t="shared" si="31"/>
        <v>-3.9982899549604045E-3</v>
      </c>
      <c r="M93" s="19">
        <f t="shared" si="44"/>
        <v>7.4916995303165937E-2</v>
      </c>
      <c r="N93" s="19">
        <f t="shared" si="45"/>
        <v>4.6255818206204703E-2</v>
      </c>
      <c r="O93" s="19">
        <f t="shared" si="32"/>
        <v>5.4512629987790717E-7</v>
      </c>
      <c r="P93" s="21">
        <f t="shared" si="33"/>
        <v>38.742465435891567</v>
      </c>
      <c r="Q93" s="9">
        <f t="shared" si="46"/>
        <v>0.44955837694962963</v>
      </c>
      <c r="R93" s="9">
        <f t="shared" si="34"/>
        <v>6.2243445788204532</v>
      </c>
      <c r="S93" s="6">
        <f t="shared" si="47"/>
        <v>2.4680351592546133E-2</v>
      </c>
      <c r="T93" s="6">
        <f t="shared" si="35"/>
        <v>2.3481219501777038E-2</v>
      </c>
      <c r="U93" s="6">
        <f t="shared" si="36"/>
        <v>0.52860051854185752</v>
      </c>
      <c r="V93" s="6">
        <f t="shared" si="37"/>
        <v>1.377460268624091E-2</v>
      </c>
      <c r="W93" s="6">
        <f t="shared" si="38"/>
        <v>-3.9573463445640743E-2</v>
      </c>
      <c r="X93" s="6">
        <f t="shared" si="39"/>
        <v>-2.5798860759399841E-2</v>
      </c>
      <c r="Y93">
        <f t="shared" si="40"/>
        <v>0.84249113864531888</v>
      </c>
      <c r="AA93" s="43">
        <f t="shared" si="48"/>
        <v>86</v>
      </c>
      <c r="AB93" s="6">
        <f t="shared" si="49"/>
        <v>0.99778055414828803</v>
      </c>
      <c r="AC93" s="6">
        <f>VLOOKUP($C93,'hours (1)'!$A$19:$P$103,16)</f>
        <v>0.16763775735501135</v>
      </c>
      <c r="AD93" s="6">
        <f t="shared" si="50"/>
        <v>0.99885356941015646</v>
      </c>
    </row>
    <row r="94" spans="1:30" x14ac:dyDescent="0.25">
      <c r="A94" s="39">
        <f>'hours (1)'!$A94*'hours (1)'!$B94/'hours (1)'!$A$105</f>
        <v>6.2866001373679725E-5</v>
      </c>
      <c r="B94" s="9">
        <f>'hours (4)'!$E94</f>
        <v>84.194425019587612</v>
      </c>
      <c r="C94" s="26">
        <f t="shared" si="41"/>
        <v>86</v>
      </c>
      <c r="D94" s="25">
        <f t="shared" si="26"/>
        <v>0.46226722826302086</v>
      </c>
      <c r="E94" s="25">
        <f t="shared" si="42"/>
        <v>2.4353430905051051E-3</v>
      </c>
      <c r="F94" s="25">
        <f t="shared" si="27"/>
        <v>2.1349363018931247E-3</v>
      </c>
      <c r="G94" s="30">
        <f t="shared" si="28"/>
        <v>9.8526893404563496E-6</v>
      </c>
      <c r="H94" s="9">
        <f>'hours (4)'!$K94</f>
        <v>87.178942318390909</v>
      </c>
      <c r="I94" s="7">
        <f t="shared" si="29"/>
        <v>6.4000000032026785</v>
      </c>
      <c r="J94" s="9">
        <f t="shared" si="30"/>
        <v>0.13933642676145333</v>
      </c>
      <c r="K94" s="18">
        <f t="shared" si="43"/>
        <v>3.5048796665556659E-3</v>
      </c>
      <c r="L94" s="19">
        <f t="shared" si="31"/>
        <v>-4.1198825531978123E-3</v>
      </c>
      <c r="M94" s="19">
        <f t="shared" si="44"/>
        <v>7.4984068936831724E-2</v>
      </c>
      <c r="N94" s="19">
        <f t="shared" si="45"/>
        <v>4.6326117386178214E-2</v>
      </c>
      <c r="O94" s="19">
        <f t="shared" si="32"/>
        <v>5.9492173395958581E-7</v>
      </c>
      <c r="P94" s="21">
        <f t="shared" si="33"/>
        <v>38.761429231120566</v>
      </c>
      <c r="Q94" s="9">
        <f t="shared" si="46"/>
        <v>0.44461917293694458</v>
      </c>
      <c r="R94" s="9">
        <f t="shared" si="34"/>
        <v>6.2258677492475352</v>
      </c>
      <c r="S94" s="6">
        <f t="shared" si="47"/>
        <v>2.4674313497425937E-2</v>
      </c>
      <c r="T94" s="6">
        <f t="shared" si="35"/>
        <v>2.3488936243075822E-2</v>
      </c>
      <c r="U94" s="6">
        <f t="shared" si="36"/>
        <v>0.52822707569912664</v>
      </c>
      <c r="V94" s="6">
        <f t="shared" si="37"/>
        <v>1.361551832428722E-2</v>
      </c>
      <c r="W94" s="6">
        <f t="shared" si="38"/>
        <v>-3.8925015402315459E-2</v>
      </c>
      <c r="X94" s="6">
        <f t="shared" si="39"/>
        <v>-2.5309497078028133E-2</v>
      </c>
      <c r="Y94">
        <f t="shared" si="40"/>
        <v>0.84357012701949452</v>
      </c>
      <c r="AA94" s="43">
        <f t="shared" si="48"/>
        <v>87</v>
      </c>
      <c r="AB94" s="6">
        <f t="shared" si="49"/>
        <v>0.99781040094227602</v>
      </c>
      <c r="AC94" s="6">
        <f>VLOOKUP($C94,'hours (1)'!$A$19:$P$103,16)</f>
        <v>0</v>
      </c>
      <c r="AD94" s="6">
        <f t="shared" si="50"/>
        <v>0.99885356941015646</v>
      </c>
    </row>
    <row r="95" spans="1:30" x14ac:dyDescent="0.25">
      <c r="A95" s="39">
        <f>'hours (1)'!$A95*'hours (1)'!$B95/'hours (1)'!$A$105</f>
        <v>3.635257383757674E-5</v>
      </c>
      <c r="B95" s="9">
        <f>'hours (4)'!$E95</f>
        <v>85.194425019587612</v>
      </c>
      <c r="C95" s="26">
        <f t="shared" si="41"/>
        <v>87</v>
      </c>
      <c r="D95" s="25">
        <f t="shared" si="26"/>
        <v>0.45695381184620454</v>
      </c>
      <c r="E95" s="25">
        <f t="shared" si="42"/>
        <v>2.407091499510833E-3</v>
      </c>
      <c r="F95" s="25">
        <f t="shared" si="27"/>
        <v>2.1101376624920939E-3</v>
      </c>
      <c r="G95" s="30">
        <f t="shared" si="28"/>
        <v>9.8672932961294544E-6</v>
      </c>
      <c r="H95" s="9">
        <f>'hours (4)'!$K95</f>
        <v>88.178942318390909</v>
      </c>
      <c r="I95" s="7">
        <f t="shared" si="29"/>
        <v>6.4000000032026785</v>
      </c>
      <c r="J95" s="9">
        <f t="shared" si="30"/>
        <v>0.13772875052419478</v>
      </c>
      <c r="K95" s="18">
        <f t="shared" si="43"/>
        <v>3.4644400493978431E-3</v>
      </c>
      <c r="L95" s="19">
        <f t="shared" si="31"/>
        <v>-4.2386895440314487E-3</v>
      </c>
      <c r="M95" s="19">
        <f t="shared" si="44"/>
        <v>7.5049577947056911E-2</v>
      </c>
      <c r="N95" s="19">
        <f t="shared" si="45"/>
        <v>4.6394783365733334E-2</v>
      </c>
      <c r="O95" s="19">
        <f t="shared" si="32"/>
        <v>6.4633404467384636E-7</v>
      </c>
      <c r="P95" s="21">
        <f t="shared" si="33"/>
        <v>38.779913200027558</v>
      </c>
      <c r="Q95" s="9">
        <f t="shared" si="46"/>
        <v>0.43978655425468266</v>
      </c>
      <c r="R95" s="9">
        <f t="shared" si="34"/>
        <v>6.2273520215278948</v>
      </c>
      <c r="S95" s="6">
        <f t="shared" si="47"/>
        <v>2.4668432442455136E-2</v>
      </c>
      <c r="T95" s="6">
        <f t="shared" si="35"/>
        <v>2.3496498048987496E-2</v>
      </c>
      <c r="U95" s="6">
        <f t="shared" si="36"/>
        <v>0.52786321394922764</v>
      </c>
      <c r="V95" s="6">
        <f t="shared" si="37"/>
        <v>1.3460066628435742E-2</v>
      </c>
      <c r="W95" s="6">
        <f t="shared" si="38"/>
        <v>-3.8292812371561333E-2</v>
      </c>
      <c r="X95" s="6">
        <f t="shared" si="39"/>
        <v>-2.483274574312554E-2</v>
      </c>
      <c r="Y95">
        <f t="shared" si="40"/>
        <v>0.84462518911897821</v>
      </c>
      <c r="AA95" s="43">
        <f t="shared" si="48"/>
        <v>88</v>
      </c>
      <c r="AB95" s="6">
        <f t="shared" si="49"/>
        <v>0.99782747240666303</v>
      </c>
      <c r="AC95" s="6">
        <f>VLOOKUP($C95,'hours (1)'!$A$19:$P$103,16)</f>
        <v>0</v>
      </c>
      <c r="AD95" s="6">
        <f t="shared" si="50"/>
        <v>0.99885356941015646</v>
      </c>
    </row>
    <row r="96" spans="1:30" x14ac:dyDescent="0.25">
      <c r="A96" s="39">
        <f>'hours (1)'!$A96*'hours (1)'!$B96/'hours (1)'!$A$105</f>
        <v>2.4316544559487854E-5</v>
      </c>
      <c r="B96" s="9">
        <f>'hours (4)'!$E96</f>
        <v>87.194425019587612</v>
      </c>
      <c r="C96" s="26">
        <f t="shared" si="41"/>
        <v>89</v>
      </c>
      <c r="D96" s="25">
        <f t="shared" si="26"/>
        <v>0.44668518686089659</v>
      </c>
      <c r="E96" s="25">
        <f t="shared" si="42"/>
        <v>2.3525102321760123E-3</v>
      </c>
      <c r="F96" s="25">
        <f t="shared" si="27"/>
        <v>2.0622295150902782E-3</v>
      </c>
      <c r="G96" s="30">
        <f t="shared" si="28"/>
        <v>9.8955064754786247E-6</v>
      </c>
      <c r="H96" s="9">
        <f>'hours (4)'!$K96</f>
        <v>90.178942318390909</v>
      </c>
      <c r="I96" s="7">
        <f t="shared" si="29"/>
        <v>6.4000000032026785</v>
      </c>
      <c r="J96" s="9">
        <f t="shared" si="30"/>
        <v>0.13462219501557937</v>
      </c>
      <c r="K96" s="18">
        <f t="shared" si="43"/>
        <v>3.3862975026981686E-3</v>
      </c>
      <c r="L96" s="19">
        <f t="shared" si="31"/>
        <v>-4.4683210499937842E-3</v>
      </c>
      <c r="M96" s="19">
        <f t="shared" si="44"/>
        <v>7.5176116083664174E-2</v>
      </c>
      <c r="N96" s="19">
        <f t="shared" si="45"/>
        <v>4.652743821896211E-2</v>
      </c>
      <c r="O96" s="19">
        <f t="shared" si="32"/>
        <v>7.5367290644501317E-7</v>
      </c>
      <c r="P96" s="21">
        <f t="shared" si="33"/>
        <v>38.81551275557657</v>
      </c>
      <c r="Q96" s="9">
        <f t="shared" si="46"/>
        <v>0.43042767809953136</v>
      </c>
      <c r="R96" s="9">
        <f t="shared" si="34"/>
        <v>6.2302096879299791</v>
      </c>
      <c r="S96" s="6">
        <f t="shared" si="47"/>
        <v>2.4657117550322457E-2</v>
      </c>
      <c r="T96" s="6">
        <f t="shared" si="35"/>
        <v>2.3511174466207947E-2</v>
      </c>
      <c r="U96" s="6">
        <f t="shared" si="36"/>
        <v>0.52716280177866426</v>
      </c>
      <c r="V96" s="6">
        <f t="shared" si="37"/>
        <v>1.3159574631260917E-2</v>
      </c>
      <c r="W96" s="6">
        <f t="shared" si="38"/>
        <v>-3.7074751906701793E-2</v>
      </c>
      <c r="X96" s="6">
        <f t="shared" si="39"/>
        <v>-2.3915177275440774E-2</v>
      </c>
      <c r="Y96">
        <f t="shared" si="40"/>
        <v>0.84666662828403927</v>
      </c>
      <c r="AA96" s="43">
        <f t="shared" si="48"/>
        <v>90</v>
      </c>
      <c r="AB96" s="6">
        <f t="shared" si="49"/>
        <v>0.99783864864654637</v>
      </c>
      <c r="AC96" s="6">
        <f>VLOOKUP($C96,'hours (1)'!$A$19:$P$103,16)</f>
        <v>0</v>
      </c>
      <c r="AD96" s="6">
        <f t="shared" si="50"/>
        <v>0.99885356941015646</v>
      </c>
    </row>
    <row r="97" spans="1:30" x14ac:dyDescent="0.25">
      <c r="A97" s="39">
        <f>'hours (1)'!$A97*'hours (1)'!$B97/'hours (1)'!$A$105</f>
        <v>1.0914241648678396E-3</v>
      </c>
      <c r="B97" s="9">
        <f>'hours (4)'!$E97</f>
        <v>88.194425019587612</v>
      </c>
      <c r="C97" s="26">
        <f t="shared" si="41"/>
        <v>90</v>
      </c>
      <c r="D97" s="25">
        <f t="shared" si="26"/>
        <v>0.44172201811799772</v>
      </c>
      <c r="E97" s="25">
        <f t="shared" si="42"/>
        <v>2.326137460968642E-3</v>
      </c>
      <c r="F97" s="25">
        <f t="shared" si="27"/>
        <v>2.0390820851838602E-3</v>
      </c>
      <c r="G97" s="30">
        <f t="shared" si="28"/>
        <v>9.9091380314213905E-6</v>
      </c>
      <c r="H97" s="9">
        <f>'hours (4)'!$K97</f>
        <v>91.178942318390909</v>
      </c>
      <c r="I97" s="7">
        <f t="shared" si="29"/>
        <v>6.4000000032026785</v>
      </c>
      <c r="J97" s="9">
        <f t="shared" si="30"/>
        <v>0.13312088867117644</v>
      </c>
      <c r="K97" s="18">
        <f t="shared" si="43"/>
        <v>3.3485335223660379E-3</v>
      </c>
      <c r="L97" s="19">
        <f t="shared" si="31"/>
        <v>-4.5793223732032429E-3</v>
      </c>
      <c r="M97" s="19">
        <f t="shared" si="44"/>
        <v>7.5237246175154704E-2</v>
      </c>
      <c r="N97" s="19">
        <f t="shared" si="45"/>
        <v>4.6591532096170625E-2</v>
      </c>
      <c r="O97" s="19">
        <f t="shared" si="32"/>
        <v>8.0943585017978492E-7</v>
      </c>
      <c r="P97" s="21">
        <f t="shared" si="33"/>
        <v>38.832661721409544</v>
      </c>
      <c r="Q97" s="9">
        <f t="shared" si="46"/>
        <v>0.42589506671187766</v>
      </c>
      <c r="R97" s="9">
        <f t="shared" si="34"/>
        <v>6.2315858111246083</v>
      </c>
      <c r="S97" s="6">
        <f t="shared" si="47"/>
        <v>2.465167251074471E-2</v>
      </c>
      <c r="T97" s="6">
        <f t="shared" si="35"/>
        <v>2.3518297493938033E-2</v>
      </c>
      <c r="U97" s="6">
        <f t="shared" si="36"/>
        <v>0.52682557924947948</v>
      </c>
      <c r="V97" s="6">
        <f t="shared" si="37"/>
        <v>1.3014304457841614E-2</v>
      </c>
      <c r="W97" s="6">
        <f t="shared" si="38"/>
        <v>-3.6487772286091853E-2</v>
      </c>
      <c r="X97" s="6">
        <f t="shared" si="39"/>
        <v>-2.3473467828250088E-2</v>
      </c>
      <c r="Y97">
        <f t="shared" si="40"/>
        <v>0.84765447043377307</v>
      </c>
      <c r="AA97" s="43">
        <f t="shared" si="48"/>
        <v>91</v>
      </c>
      <c r="AB97" s="6">
        <f t="shared" si="49"/>
        <v>0.99833500071771397</v>
      </c>
      <c r="AC97" s="6">
        <f>VLOOKUP($C97,'hours (1)'!$A$19:$P$103,16)</f>
        <v>0.16005690514757984</v>
      </c>
      <c r="AD97" s="6">
        <f t="shared" si="50"/>
        <v>0.99902185344424921</v>
      </c>
    </row>
    <row r="98" spans="1:30" x14ac:dyDescent="0.25">
      <c r="A98" s="39">
        <f>'hours (1)'!$A98*'hours (1)'!$B98/'hours (1)'!$A$105</f>
        <v>1.3983102524572018E-4</v>
      </c>
      <c r="B98" s="9">
        <f>'hours (4)'!$E98</f>
        <v>89.194425019587612</v>
      </c>
      <c r="C98" s="26">
        <f t="shared" si="41"/>
        <v>91</v>
      </c>
      <c r="D98" s="25">
        <f t="shared" si="26"/>
        <v>0.43686793000681096</v>
      </c>
      <c r="E98" s="25">
        <f t="shared" si="42"/>
        <v>2.3003494608834119E-3</v>
      </c>
      <c r="F98" s="25">
        <f t="shared" si="27"/>
        <v>2.0164485397775834E-3</v>
      </c>
      <c r="G98" s="30">
        <f t="shared" si="28"/>
        <v>9.9224669600167516E-6</v>
      </c>
      <c r="H98" s="9">
        <f>'hours (4)'!$K98</f>
        <v>92.178942318390909</v>
      </c>
      <c r="I98" s="7">
        <f t="shared" si="29"/>
        <v>6.4000000032026785</v>
      </c>
      <c r="J98" s="9">
        <f t="shared" si="30"/>
        <v>0.13165270113699323</v>
      </c>
      <c r="K98" s="18">
        <f t="shared" si="43"/>
        <v>3.311602615245397E-3</v>
      </c>
      <c r="L98" s="19">
        <f t="shared" si="31"/>
        <v>-4.6878921593647843E-3</v>
      </c>
      <c r="M98" s="19">
        <f t="shared" si="44"/>
        <v>7.5297013842089949E-2</v>
      </c>
      <c r="N98" s="19">
        <f t="shared" si="45"/>
        <v>4.6654203057306609E-2</v>
      </c>
      <c r="O98" s="19">
        <f t="shared" si="32"/>
        <v>8.6648887079321391E-7</v>
      </c>
      <c r="P98" s="21">
        <f t="shared" si="33"/>
        <v>38.849397723962113</v>
      </c>
      <c r="Q98" s="9">
        <f t="shared" si="46"/>
        <v>0.42145631905575842</v>
      </c>
      <c r="R98" s="9">
        <f t="shared" si="34"/>
        <v>6.2329285030362822</v>
      </c>
      <c r="S98" s="6">
        <f t="shared" si="47"/>
        <v>2.4646362069389045E-2</v>
      </c>
      <c r="T98" s="6">
        <f t="shared" si="35"/>
        <v>2.3525282431421626E-2</v>
      </c>
      <c r="U98" s="6">
        <f t="shared" si="36"/>
        <v>0.52649659147983496</v>
      </c>
      <c r="V98" s="6">
        <f t="shared" si="37"/>
        <v>1.2872206619761429E-2</v>
      </c>
      <c r="W98" s="6">
        <f t="shared" si="38"/>
        <v>-3.5914789815678354E-2</v>
      </c>
      <c r="X98" s="6">
        <f t="shared" si="39"/>
        <v>-2.3042583195916913E-2</v>
      </c>
      <c r="Y98">
        <f t="shared" si="40"/>
        <v>0.84862131987024436</v>
      </c>
      <c r="AA98" s="43">
        <f t="shared" si="48"/>
        <v>92</v>
      </c>
      <c r="AB98" s="6">
        <f t="shared" si="49"/>
        <v>0.99839792956484752</v>
      </c>
      <c r="AC98" s="6">
        <f>VLOOKUP($C98,'hours (1)'!$A$19:$P$103,16)</f>
        <v>7.1411137265055727E-2</v>
      </c>
      <c r="AD98" s="6">
        <f t="shared" si="50"/>
        <v>0.99903137251129659</v>
      </c>
    </row>
    <row r="99" spans="1:30" x14ac:dyDescent="0.25">
      <c r="A99" s="39">
        <f>'hours (1)'!$A99*'hours (1)'!$B99/'hours (1)'!$A$105</f>
        <v>3.1913045983324432E-5</v>
      </c>
      <c r="B99" s="9">
        <f>'hours (4)'!$E99</f>
        <v>92.194425019587612</v>
      </c>
      <c r="C99" s="26">
        <f t="shared" si="41"/>
        <v>94</v>
      </c>
      <c r="D99" s="25">
        <f t="shared" si="26"/>
        <v>0.42292533649595526</v>
      </c>
      <c r="E99" s="25">
        <f t="shared" si="42"/>
        <v>2.2263058464085592E-3</v>
      </c>
      <c r="F99" s="25">
        <f t="shared" si="27"/>
        <v>1.9514655929975982E-3</v>
      </c>
      <c r="G99" s="30">
        <f t="shared" si="28"/>
        <v>9.9607355141473152E-6</v>
      </c>
      <c r="H99" s="9">
        <f>'hours (4)'!$K99</f>
        <v>95.178942318390909</v>
      </c>
      <c r="I99" s="7">
        <f t="shared" si="29"/>
        <v>6.4000000032026785</v>
      </c>
      <c r="J99" s="9">
        <f t="shared" si="30"/>
        <v>0.12743624250534893</v>
      </c>
      <c r="K99" s="18">
        <f t="shared" si="43"/>
        <v>3.2055414762711377E-3</v>
      </c>
      <c r="L99" s="19">
        <f t="shared" si="31"/>
        <v>-4.9997858811093171E-3</v>
      </c>
      <c r="M99" s="19">
        <f t="shared" si="44"/>
        <v>7.5468583015944737E-2</v>
      </c>
      <c r="N99" s="19">
        <f t="shared" si="45"/>
        <v>4.683413702960515E-2</v>
      </c>
      <c r="O99" s="19">
        <f t="shared" si="32"/>
        <v>1.0446367230687592E-6</v>
      </c>
      <c r="P99" s="21">
        <f t="shared" si="33"/>
        <v>38.897272013527605</v>
      </c>
      <c r="Q99" s="9">
        <f t="shared" si="46"/>
        <v>0.40867518661227753</v>
      </c>
      <c r="R99" s="9">
        <f t="shared" si="34"/>
        <v>6.2367677536948261</v>
      </c>
      <c r="S99" s="6">
        <f t="shared" si="47"/>
        <v>2.4631190178187944E-2</v>
      </c>
      <c r="T99" s="6">
        <f t="shared" si="35"/>
        <v>2.3545446496178634E-2</v>
      </c>
      <c r="U99" s="6">
        <f t="shared" si="36"/>
        <v>0.52555613795215761</v>
      </c>
      <c r="V99" s="6">
        <f t="shared" si="37"/>
        <v>1.2463940925735799E-2</v>
      </c>
      <c r="W99" s="6">
        <f t="shared" si="38"/>
        <v>-3.4274978236071472E-2</v>
      </c>
      <c r="X99" s="6">
        <f t="shared" si="39"/>
        <v>-2.1811037310335644E-2</v>
      </c>
      <c r="Y99">
        <f t="shared" si="40"/>
        <v>0.85140235991714142</v>
      </c>
      <c r="AA99" s="43">
        <f t="shared" si="48"/>
        <v>95</v>
      </c>
      <c r="AB99" s="6">
        <f t="shared" si="49"/>
        <v>0.99841185600738003</v>
      </c>
      <c r="AC99" s="6">
        <f>VLOOKUP($C99,'hours (1)'!$A$19:$P$103,16)</f>
        <v>1</v>
      </c>
      <c r="AD99" s="6">
        <f t="shared" si="50"/>
        <v>0.9990608722963904</v>
      </c>
    </row>
    <row r="100" spans="1:30" x14ac:dyDescent="0.25">
      <c r="A100" s="39">
        <f>'hours (1)'!$A100*'hours (1)'!$B100/'hours (1)'!$A$105</f>
        <v>8.4377078426558727E-5</v>
      </c>
      <c r="B100" s="9">
        <f>'hours (4)'!$E100</f>
        <v>93.194425019587612</v>
      </c>
      <c r="C100" s="26">
        <f t="shared" si="41"/>
        <v>95</v>
      </c>
      <c r="D100" s="25">
        <f t="shared" si="26"/>
        <v>0.41847349084862945</v>
      </c>
      <c r="E100" s="25">
        <f t="shared" si="42"/>
        <v>2.2026726868386672E-3</v>
      </c>
      <c r="F100" s="25">
        <f t="shared" si="27"/>
        <v>1.930725488726769E-3</v>
      </c>
      <c r="G100" s="30">
        <f t="shared" si="28"/>
        <v>9.9729493924383229E-6</v>
      </c>
      <c r="H100" s="9">
        <f>'hours (4)'!$K100</f>
        <v>96.178942318390909</v>
      </c>
      <c r="I100" s="7">
        <f t="shared" si="29"/>
        <v>6.4000000032026785</v>
      </c>
      <c r="J100" s="9">
        <f t="shared" si="30"/>
        <v>0.12609014550182629</v>
      </c>
      <c r="K100" s="18">
        <f t="shared" si="43"/>
        <v>3.1716816441617985E-3</v>
      </c>
      <c r="L100" s="19">
        <f t="shared" si="31"/>
        <v>-5.0993868683275045E-3</v>
      </c>
      <c r="M100" s="19">
        <f t="shared" si="44"/>
        <v>7.5523332302414051E-2</v>
      </c>
      <c r="N100" s="19">
        <f t="shared" si="45"/>
        <v>4.6891565163173353E-2</v>
      </c>
      <c r="O100" s="19">
        <f t="shared" si="32"/>
        <v>1.1061105594650789E-6</v>
      </c>
      <c r="P100" s="21">
        <f t="shared" si="33"/>
        <v>38.91249691091442</v>
      </c>
      <c r="Q100" s="9">
        <f t="shared" si="46"/>
        <v>0.4045843713075824</v>
      </c>
      <c r="R100" s="9">
        <f t="shared" si="34"/>
        <v>6.2379882102256667</v>
      </c>
      <c r="S100" s="6">
        <f t="shared" si="47"/>
        <v>2.4626371108978088E-2</v>
      </c>
      <c r="T100" s="6">
        <f t="shared" si="35"/>
        <v>2.3551916214886774E-2</v>
      </c>
      <c r="U100" s="6">
        <f t="shared" si="36"/>
        <v>0.52525725744855511</v>
      </c>
      <c r="V100" s="6">
        <f t="shared" si="37"/>
        <v>1.2333547290931102E-2</v>
      </c>
      <c r="W100" s="6">
        <f t="shared" si="38"/>
        <v>-3.3753248197327522E-2</v>
      </c>
      <c r="X100" s="6">
        <f t="shared" si="39"/>
        <v>-2.1419700906396458E-2</v>
      </c>
      <c r="Y100">
        <f t="shared" si="40"/>
        <v>0.85229155669322221</v>
      </c>
      <c r="AA100" s="43">
        <f t="shared" si="48"/>
        <v>96</v>
      </c>
      <c r="AB100" s="6">
        <f t="shared" si="49"/>
        <v>0.99844830850161526</v>
      </c>
      <c r="AC100" s="6">
        <f>VLOOKUP($C100,'hours (1)'!$A$19:$P$103,16)</f>
        <v>0.61093299067674678</v>
      </c>
      <c r="AD100" s="6">
        <f t="shared" si="50"/>
        <v>0.9991080459472681</v>
      </c>
    </row>
    <row r="101" spans="1:30" x14ac:dyDescent="0.25">
      <c r="A101" s="39">
        <f>'hours (1)'!$A101*'hours (1)'!$B101/'hours (1)'!$A$105</f>
        <v>3.8131501811645247E-4</v>
      </c>
      <c r="B101" s="9">
        <f>'hours (4)'!$E101</f>
        <v>94.194425019587612</v>
      </c>
      <c r="C101" s="26">
        <f t="shared" si="41"/>
        <v>96</v>
      </c>
      <c r="D101" s="25">
        <f t="shared" si="26"/>
        <v>0.41411439198562289</v>
      </c>
      <c r="E101" s="25">
        <f t="shared" si="42"/>
        <v>2.1795360264171377E-3</v>
      </c>
      <c r="F101" s="25">
        <f t="shared" si="27"/>
        <v>1.9104216116189049E-3</v>
      </c>
      <c r="G101" s="30">
        <f t="shared" si="28"/>
        <v>9.984906375903435E-6</v>
      </c>
      <c r="H101" s="9">
        <f>'hours (4)'!$K101</f>
        <v>97.178942318390909</v>
      </c>
      <c r="I101" s="7">
        <f t="shared" si="29"/>
        <v>6.4000000032026785</v>
      </c>
      <c r="J101" s="9">
        <f t="shared" si="30"/>
        <v>0.12477219092946679</v>
      </c>
      <c r="K101" s="18">
        <f t="shared" si="43"/>
        <v>3.1385297090255893E-3</v>
      </c>
      <c r="L101" s="19">
        <f t="shared" si="31"/>
        <v>-5.1969193470153413E-3</v>
      </c>
      <c r="M101" s="19">
        <f t="shared" si="44"/>
        <v>7.5576925767916303E-2</v>
      </c>
      <c r="N101" s="19">
        <f t="shared" si="45"/>
        <v>4.6947785409285736E-2</v>
      </c>
      <c r="O101" s="19">
        <f t="shared" si="32"/>
        <v>1.168517045443962E-6</v>
      </c>
      <c r="P101" s="21">
        <f t="shared" si="33"/>
        <v>38.927376037286876</v>
      </c>
      <c r="Q101" s="9">
        <f t="shared" si="46"/>
        <v>0.40057418931096922</v>
      </c>
      <c r="R101" s="9">
        <f t="shared" si="34"/>
        <v>6.239180718434663</v>
      </c>
      <c r="S101" s="6">
        <f t="shared" si="47"/>
        <v>2.4621664216994903E-2</v>
      </c>
      <c r="T101" s="6">
        <f t="shared" si="35"/>
        <v>2.3558265780902185E-2</v>
      </c>
      <c r="U101" s="6">
        <f t="shared" si="36"/>
        <v>0.5249652601517435</v>
      </c>
      <c r="V101" s="6">
        <f t="shared" si="37"/>
        <v>1.2205853713204252E-2</v>
      </c>
      <c r="W101" s="6">
        <f t="shared" si="38"/>
        <v>-3.3243253724439301E-2</v>
      </c>
      <c r="X101" s="6">
        <f t="shared" si="39"/>
        <v>-2.1037400011234948E-2</v>
      </c>
      <c r="Y101">
        <f t="shared" si="40"/>
        <v>0.85316279452084653</v>
      </c>
      <c r="AA101" s="43">
        <f t="shared" si="48"/>
        <v>97</v>
      </c>
      <c r="AB101" s="6">
        <f t="shared" si="49"/>
        <v>0.9986114109710742</v>
      </c>
      <c r="AC101" s="6">
        <f>VLOOKUP($C101,'hours (1)'!$A$19:$P$103,16)</f>
        <v>0.16278583426161031</v>
      </c>
      <c r="AD101" s="6">
        <f t="shared" si="50"/>
        <v>0.99916428730634455</v>
      </c>
    </row>
    <row r="102" spans="1:30" x14ac:dyDescent="0.25">
      <c r="A102" s="39">
        <f>'hours (1)'!$A102*'hours (1)'!$B102/'hours (1)'!$A$105</f>
        <v>1.3602345797954579E-4</v>
      </c>
      <c r="B102" s="9">
        <f>'hours (4)'!$E102</f>
        <v>96.194425019587612</v>
      </c>
      <c r="C102" s="26">
        <f t="shared" si="41"/>
        <v>98</v>
      </c>
      <c r="D102" s="25">
        <f t="shared" si="26"/>
        <v>0.40566307786346728</v>
      </c>
      <c r="E102" s="25">
        <f t="shared" si="42"/>
        <v>2.1346909041957346E-3</v>
      </c>
      <c r="F102" s="25">
        <f t="shared" si="27"/>
        <v>1.8710686203117519E-3</v>
      </c>
      <c r="G102" s="30">
        <f t="shared" si="28"/>
        <v>1.0008081411088221E-5</v>
      </c>
      <c r="H102" s="9">
        <f>'hours (4)'!$K102</f>
        <v>99.178942318390909</v>
      </c>
      <c r="I102" s="7">
        <f t="shared" si="29"/>
        <v>6.4000000032026785</v>
      </c>
      <c r="J102" s="9">
        <f t="shared" si="30"/>
        <v>0.12221725091214033</v>
      </c>
      <c r="K102" s="18">
        <f t="shared" si="43"/>
        <v>3.0742625426848909E-3</v>
      </c>
      <c r="L102" s="19">
        <f t="shared" si="31"/>
        <v>-5.3860312997499188E-3</v>
      </c>
      <c r="M102" s="19">
        <f t="shared" si="44"/>
        <v>7.5680788608427321E-2</v>
      </c>
      <c r="N102" s="19">
        <f t="shared" si="45"/>
        <v>4.7056751536532937E-2</v>
      </c>
      <c r="O102" s="19">
        <f t="shared" si="32"/>
        <v>1.2958743934171624E-6</v>
      </c>
      <c r="P102" s="21">
        <f t="shared" si="33"/>
        <v>38.95614307569339</v>
      </c>
      <c r="Q102" s="9">
        <f t="shared" si="46"/>
        <v>0.39278643394515905</v>
      </c>
      <c r="R102" s="9">
        <f t="shared" si="34"/>
        <v>6.241485646518254</v>
      </c>
      <c r="S102" s="6">
        <f t="shared" si="47"/>
        <v>2.461257164376273E-2</v>
      </c>
      <c r="T102" s="6">
        <f t="shared" si="35"/>
        <v>2.3570617244301879E-2</v>
      </c>
      <c r="U102" s="6">
        <f t="shared" si="36"/>
        <v>0.52440098870383123</v>
      </c>
      <c r="V102" s="6">
        <f t="shared" si="37"/>
        <v>1.1958238070504322E-2</v>
      </c>
      <c r="W102" s="6">
        <f t="shared" si="38"/>
        <v>-3.2256918515845466E-2</v>
      </c>
      <c r="X102" s="6">
        <f t="shared" si="39"/>
        <v>-2.029868044534117E-2</v>
      </c>
      <c r="Y102">
        <f t="shared" si="40"/>
        <v>0.8548535157020305</v>
      </c>
      <c r="AA102" s="43">
        <f t="shared" si="48"/>
        <v>99</v>
      </c>
      <c r="AB102" s="6">
        <f t="shared" si="49"/>
        <v>0.99866846206218185</v>
      </c>
      <c r="AC102" s="6">
        <f>VLOOKUP($C102,'hours (1)'!$A$19:$P$103,16)</f>
        <v>0.31030432072726227</v>
      </c>
      <c r="AD102" s="6">
        <f t="shared" si="50"/>
        <v>0.99920178723472941</v>
      </c>
    </row>
    <row r="103" spans="1:30" x14ac:dyDescent="0.25">
      <c r="A103" s="39">
        <f>'hours (1)'!$A103*'hours (1)'!$B103/'hours (1)'!$A$105</f>
        <v>3.2055704739297011E-3</v>
      </c>
      <c r="B103" s="9">
        <f>'hours (4)'!$E103</f>
        <v>97.194425019587612</v>
      </c>
      <c r="C103" s="26">
        <f t="shared" si="41"/>
        <v>99</v>
      </c>
      <c r="D103" s="25">
        <f t="shared" si="26"/>
        <v>0.40156547101636159</v>
      </c>
      <c r="E103" s="25">
        <f t="shared" si="42"/>
        <v>2.1129533536641612E-3</v>
      </c>
      <c r="F103" s="25">
        <f t="shared" si="27"/>
        <v>1.8519939211325417E-3</v>
      </c>
      <c r="G103" s="30">
        <f t="shared" si="28"/>
        <v>1.0019314529840673E-5</v>
      </c>
      <c r="H103" s="9">
        <f>'hours (4)'!$K103</f>
        <v>100.17894231839091</v>
      </c>
      <c r="I103" s="7">
        <f t="shared" si="29"/>
        <v>6.4000000032026785</v>
      </c>
      <c r="J103" s="9">
        <f t="shared" si="30"/>
        <v>0.12097862402311332</v>
      </c>
      <c r="K103" s="18">
        <f t="shared" si="43"/>
        <v>3.0431060224647179E-3</v>
      </c>
      <c r="L103" s="19">
        <f t="shared" si="31"/>
        <v>-5.4777306762442551E-3</v>
      </c>
      <c r="M103" s="19">
        <f t="shared" si="44"/>
        <v>7.573112600257477E-2</v>
      </c>
      <c r="N103" s="19">
        <f t="shared" si="45"/>
        <v>4.7109568260978125E-2</v>
      </c>
      <c r="O103" s="19">
        <f t="shared" si="32"/>
        <v>1.3607046634861453E-6</v>
      </c>
      <c r="P103" s="21">
        <f t="shared" si="33"/>
        <v>38.970052770094483</v>
      </c>
      <c r="Q103" s="9">
        <f t="shared" si="46"/>
        <v>0.38900443414783725</v>
      </c>
      <c r="R103" s="9">
        <f t="shared" si="34"/>
        <v>6.2425998406188494</v>
      </c>
      <c r="S103" s="6">
        <f t="shared" si="47"/>
        <v>2.4608178733304571E-2</v>
      </c>
      <c r="T103" s="6">
        <f t="shared" si="35"/>
        <v>2.3576625266168893E-2</v>
      </c>
      <c r="U103" s="6">
        <f t="shared" si="36"/>
        <v>0.5241282769239739</v>
      </c>
      <c r="V103" s="6">
        <f t="shared" si="37"/>
        <v>1.1838159927117486E-2</v>
      </c>
      <c r="W103" s="6">
        <f t="shared" si="38"/>
        <v>-3.177984374512819E-2</v>
      </c>
      <c r="X103" s="6">
        <f t="shared" si="39"/>
        <v>-1.9941683818010706E-2</v>
      </c>
      <c r="Y103">
        <f t="shared" si="40"/>
        <v>0.85567400880136257</v>
      </c>
      <c r="AA103" s="43">
        <f t="shared" si="48"/>
        <v>100</v>
      </c>
      <c r="AB103" s="6">
        <f t="shared" si="49"/>
        <v>1.0000000000000004</v>
      </c>
      <c r="AC103" s="6">
        <f>VLOOKUP($C103,'hours (1)'!$A$19:$P$103,16)</f>
        <v>0.28300001813675729</v>
      </c>
      <c r="AD103" s="6">
        <f t="shared" si="50"/>
        <v>1.0000000000000004</v>
      </c>
    </row>
  </sheetData>
  <mergeCells count="5">
    <mergeCell ref="G14:J14"/>
    <mergeCell ref="C15:G15"/>
    <mergeCell ref="H15:X15"/>
    <mergeCell ref="Y17:Z17"/>
    <mergeCell ref="E17:F17"/>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sheetViews>
  <sheetFormatPr defaultColWidth="11" defaultRowHeight="15.75" x14ac:dyDescent="0.25"/>
  <cols>
    <col min="1" max="1" width="17.125" bestFit="1" customWidth="1"/>
  </cols>
  <sheetData>
    <row r="1" spans="1:3" x14ac:dyDescent="0.25">
      <c r="A1" s="92" t="s">
        <v>279</v>
      </c>
    </row>
    <row r="3" spans="1:3" x14ac:dyDescent="0.25">
      <c r="A3" s="6">
        <f>AggStats!G19</f>
        <v>-2.8486447276150115E-2</v>
      </c>
      <c r="B3" t="s">
        <v>284</v>
      </c>
    </row>
    <row r="4" spans="1:3" x14ac:dyDescent="0.25">
      <c r="A4" s="94" t="s">
        <v>275</v>
      </c>
    </row>
    <row r="5" spans="1:3" x14ac:dyDescent="0.25">
      <c r="A5" s="37">
        <f>AggStats!$G$24</f>
        <v>4.5462365269282115E-2</v>
      </c>
      <c r="B5" t="s">
        <v>282</v>
      </c>
    </row>
    <row r="6" spans="1:3" x14ac:dyDescent="0.25">
      <c r="A6" s="14">
        <f>1-A8/B8</f>
        <v>0.36046944335224396</v>
      </c>
      <c r="B6" t="s">
        <v>283</v>
      </c>
    </row>
    <row r="7" spans="1:3" x14ac:dyDescent="0.25">
      <c r="A7" s="14">
        <f>1-A9/B9</f>
        <v>0.57384962933719352</v>
      </c>
    </row>
    <row r="8" spans="1:3" x14ac:dyDescent="0.25">
      <c r="A8" s="36">
        <v>-1.8216900000000001E-2</v>
      </c>
      <c r="B8" s="36">
        <v>-2.8484800000000001E-2</v>
      </c>
      <c r="C8" t="s">
        <v>276</v>
      </c>
    </row>
    <row r="9" spans="1:3" x14ac:dyDescent="0.25">
      <c r="A9" s="4">
        <v>1.94299</v>
      </c>
      <c r="B9" s="4">
        <v>4.5594000000000001</v>
      </c>
    </row>
    <row r="10" spans="1:3" x14ac:dyDescent="0.25">
      <c r="A10" s="7">
        <f>A11/B8</f>
        <v>1.7912851766556197</v>
      </c>
      <c r="B10" t="s">
        <v>265</v>
      </c>
    </row>
    <row r="11" spans="1:3" x14ac:dyDescent="0.25">
      <c r="A11" s="36">
        <v>-5.1024399999999998E-2</v>
      </c>
      <c r="B11" t="s">
        <v>285</v>
      </c>
    </row>
    <row r="12" spans="1:3" x14ac:dyDescent="0.25">
      <c r="A12" s="3">
        <f>2000*(1.016^2)/((1-0.39)*(1+0.0765))</f>
        <v>3143.9348830834601</v>
      </c>
      <c r="B12" t="s">
        <v>266</v>
      </c>
    </row>
    <row r="13" spans="1:3" x14ac:dyDescent="0.25">
      <c r="A13" s="3">
        <f>A12/52</f>
        <v>60.460286213143462</v>
      </c>
      <c r="B13" t="s">
        <v>267</v>
      </c>
    </row>
    <row r="14" spans="1:3" x14ac:dyDescent="0.25">
      <c r="A14" s="93">
        <f>A13/4.2</f>
        <v>14.395306241224633</v>
      </c>
      <c r="B14" t="s">
        <v>268</v>
      </c>
    </row>
    <row r="15" spans="1:3" x14ac:dyDescent="0.25">
      <c r="A15" s="6">
        <f>ParametersTax!B12/52</f>
        <v>3.4226923076923106E-2</v>
      </c>
      <c r="B15" t="s">
        <v>286</v>
      </c>
    </row>
    <row r="16" spans="1:3" x14ac:dyDescent="0.25">
      <c r="A16" s="14">
        <f>ParametersTax!$E$17+ParametersTax!$E$19</f>
        <v>0.26</v>
      </c>
      <c r="B16" t="s">
        <v>287</v>
      </c>
    </row>
    <row r="17" spans="1:2" x14ac:dyDescent="0.25">
      <c r="A17" s="37">
        <f>1251572/137421887</f>
        <v>9.1075157482010134E-3</v>
      </c>
      <c r="B17" t="s">
        <v>269</v>
      </c>
    </row>
    <row r="18" spans="1:2" x14ac:dyDescent="0.25">
      <c r="A18" s="9">
        <f>ParametersOther!B25</f>
        <v>0.56939735026276894</v>
      </c>
      <c r="B18" t="s">
        <v>270</v>
      </c>
    </row>
    <row r="19" spans="1:2" x14ac:dyDescent="0.25">
      <c r="A19" s="22" t="str">
        <f>Table2!B9</f>
        <v>4.14*A</v>
      </c>
      <c r="B19" t="s">
        <v>271</v>
      </c>
    </row>
    <row r="20" spans="1:2" ht="18.75" x14ac:dyDescent="0.35">
      <c r="A20" s="9">
        <f>ParametersOther!$B$4</f>
        <v>9.4905032911790893E-2</v>
      </c>
      <c r="B20" t="s">
        <v>280</v>
      </c>
    </row>
    <row r="21" spans="1:2" x14ac:dyDescent="0.25">
      <c r="A21" s="22" t="str">
        <f>Table2!B10</f>
        <v>4.11*A</v>
      </c>
    </row>
    <row r="22" spans="1:2" x14ac:dyDescent="0.25">
      <c r="A22" s="6">
        <f>A3</f>
        <v>-2.8486447276150115E-2</v>
      </c>
      <c r="B22" t="s">
        <v>288</v>
      </c>
    </row>
    <row r="23" spans="1:2" x14ac:dyDescent="0.25">
      <c r="A23" s="6">
        <f>AggStats!G20</f>
        <v>-2.7778509819429149E-2</v>
      </c>
    </row>
    <row r="24" spans="1:2" x14ac:dyDescent="0.25">
      <c r="A24" s="37">
        <f>A5</f>
        <v>4.5462365269282115E-2</v>
      </c>
      <c r="B24" t="s">
        <v>289</v>
      </c>
    </row>
    <row r="25" spans="1:2" x14ac:dyDescent="0.25">
      <c r="A25" s="22" t="s">
        <v>277</v>
      </c>
      <c r="B25" t="s">
        <v>290</v>
      </c>
    </row>
    <row r="26" spans="1:2" x14ac:dyDescent="0.25">
      <c r="A26" s="22" t="s">
        <v>277</v>
      </c>
      <c r="B26" t="s">
        <v>272</v>
      </c>
    </row>
    <row r="27" spans="1:2" x14ac:dyDescent="0.25">
      <c r="A27" s="14">
        <f>A7</f>
        <v>0.57384962933719352</v>
      </c>
      <c r="B27" t="s">
        <v>273</v>
      </c>
    </row>
    <row r="28" spans="1:2" x14ac:dyDescent="0.25">
      <c r="A28" s="14">
        <f>A6</f>
        <v>0.36046944335224396</v>
      </c>
    </row>
    <row r="29" spans="1:2" x14ac:dyDescent="0.25">
      <c r="A29" s="7">
        <f>Table1!E17</f>
        <v>2.119850395894062</v>
      </c>
      <c r="B29" t="s">
        <v>291</v>
      </c>
    </row>
    <row r="30" spans="1:2" x14ac:dyDescent="0.25">
      <c r="A30" s="37">
        <f>Table1!C17-Table1!C5</f>
        <v>1.3523894564406447E-2</v>
      </c>
    </row>
    <row r="31" spans="1:2" x14ac:dyDescent="0.25">
      <c r="A31" s="6">
        <f>A11</f>
        <v>-5.1024399999999998E-2</v>
      </c>
      <c r="B31" t="s">
        <v>292</v>
      </c>
    </row>
    <row r="32" spans="1:2" x14ac:dyDescent="0.25">
      <c r="A32" s="4">
        <f>5.9/3.4</f>
        <v>1.7352941176470589</v>
      </c>
      <c r="B32" t="s">
        <v>274</v>
      </c>
    </row>
    <row r="33" spans="1:1" x14ac:dyDescent="0.25">
      <c r="A33" s="22" t="s">
        <v>278</v>
      </c>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zoomScale="125" zoomScaleNormal="125" zoomScalePageLayoutView="125" workbookViewId="0"/>
  </sheetViews>
  <sheetFormatPr defaultColWidth="11" defaultRowHeight="15.75" x14ac:dyDescent="0.25"/>
  <cols>
    <col min="1" max="1" width="23.375" customWidth="1"/>
    <col min="4" max="4" width="17.625" bestFit="1" customWidth="1"/>
    <col min="6" max="6" width="84" customWidth="1"/>
    <col min="18" max="18" width="11.625" bestFit="1" customWidth="1"/>
  </cols>
  <sheetData>
    <row r="1" spans="1:7" x14ac:dyDescent="0.25">
      <c r="A1" s="5" t="s">
        <v>200</v>
      </c>
    </row>
    <row r="3" spans="1:7" x14ac:dyDescent="0.25">
      <c r="D3" s="1" t="s">
        <v>176</v>
      </c>
    </row>
    <row r="4" spans="1:7" x14ac:dyDescent="0.25">
      <c r="A4" t="s">
        <v>76</v>
      </c>
      <c r="B4" s="8">
        <v>0.25</v>
      </c>
      <c r="D4" s="42" t="s">
        <v>96</v>
      </c>
      <c r="E4">
        <f>VLOOKUP(D4,$A$37:$B$41,2)</f>
        <v>5</v>
      </c>
    </row>
    <row r="5" spans="1:7" x14ac:dyDescent="0.25">
      <c r="A5" t="s">
        <v>77</v>
      </c>
    </row>
    <row r="6" spans="1:7" x14ac:dyDescent="0.25">
      <c r="A6" s="33" t="s">
        <v>78</v>
      </c>
      <c r="B6" s="4">
        <v>4.2</v>
      </c>
    </row>
    <row r="7" spans="1:7" x14ac:dyDescent="0.25">
      <c r="A7" t="s">
        <v>131</v>
      </c>
      <c r="B7" s="7"/>
    </row>
    <row r="8" spans="1:7" x14ac:dyDescent="0.25">
      <c r="A8" s="34" t="s">
        <v>132</v>
      </c>
      <c r="B8" s="8">
        <f>26%-(0.439067511466351*0.0587801934260232)</f>
        <v>0.23419152674892524</v>
      </c>
    </row>
    <row r="9" spans="1:7" x14ac:dyDescent="0.25">
      <c r="A9" t="s">
        <v>79</v>
      </c>
      <c r="B9" s="2">
        <v>0.8</v>
      </c>
    </row>
    <row r="10" spans="1:7" x14ac:dyDescent="0.25">
      <c r="A10" t="s">
        <v>80</v>
      </c>
    </row>
    <row r="11" spans="1:7" x14ac:dyDescent="0.25">
      <c r="A11" s="33" t="s">
        <v>78</v>
      </c>
      <c r="B11" s="4">
        <f>8*B9*(1-0.25-0.008015655)/(1-$B$4-$D$20)</f>
        <v>6.4000000032026785</v>
      </c>
    </row>
    <row r="12" spans="1:7" x14ac:dyDescent="0.25">
      <c r="A12" s="33" t="s">
        <v>81</v>
      </c>
      <c r="B12" s="4">
        <f>52-50.2202</f>
        <v>1.7798000000000016</v>
      </c>
    </row>
    <row r="15" spans="1:7" x14ac:dyDescent="0.25">
      <c r="A15" s="1" t="s">
        <v>177</v>
      </c>
      <c r="B15" s="10" t="s">
        <v>92</v>
      </c>
      <c r="C15" s="1" t="s">
        <v>90</v>
      </c>
      <c r="D15" s="10" t="s">
        <v>91</v>
      </c>
      <c r="E15" s="10" t="s">
        <v>82</v>
      </c>
      <c r="F15" s="1" t="s">
        <v>83</v>
      </c>
      <c r="G15" s="1" t="str">
        <f t="shared" ref="G15:G20" si="0">A15</f>
        <v>Tax scenario description</v>
      </c>
    </row>
    <row r="16" spans="1:7" x14ac:dyDescent="0.25">
      <c r="A16" s="35" t="s">
        <v>84</v>
      </c>
      <c r="B16">
        <v>0</v>
      </c>
      <c r="C16">
        <v>0</v>
      </c>
      <c r="D16">
        <v>0</v>
      </c>
      <c r="E16" s="6">
        <f>1-SUM(E17:E20)</f>
        <v>0.56198162362732629</v>
      </c>
      <c r="G16" t="str">
        <f t="shared" si="0"/>
        <v>Zero-rate group</v>
      </c>
    </row>
    <row r="17" spans="1:7" x14ac:dyDescent="0.25">
      <c r="A17" t="s">
        <v>85</v>
      </c>
      <c r="B17">
        <v>1</v>
      </c>
      <c r="C17" s="7">
        <f>B$6</f>
        <v>4.2</v>
      </c>
      <c r="D17">
        <v>0</v>
      </c>
      <c r="E17" s="36">
        <f>0.26-E19</f>
        <v>0.22516649581081083</v>
      </c>
      <c r="F17" t="s">
        <v>86</v>
      </c>
      <c r="G17" t="str">
        <f t="shared" si="0"/>
        <v>Penalty, no subsidy</v>
      </c>
    </row>
    <row r="18" spans="1:7" x14ac:dyDescent="0.25">
      <c r="A18" t="s">
        <v>87</v>
      </c>
      <c r="B18">
        <v>2</v>
      </c>
      <c r="C18">
        <v>0</v>
      </c>
      <c r="D18" s="14">
        <f>B$8</f>
        <v>0.23419152674892524</v>
      </c>
      <c r="E18" s="36">
        <f>E19/2</f>
        <v>1.7416752094594593E-2</v>
      </c>
      <c r="F18" t="s">
        <v>136</v>
      </c>
      <c r="G18" t="str">
        <f t="shared" si="0"/>
        <v>Subsidy slide, no penalty</v>
      </c>
    </row>
    <row r="19" spans="1:7" x14ac:dyDescent="0.25">
      <c r="A19" t="s">
        <v>88</v>
      </c>
      <c r="B19">
        <v>3</v>
      </c>
      <c r="C19" s="7">
        <f>C17</f>
        <v>4.2</v>
      </c>
      <c r="D19" s="14">
        <f>D18</f>
        <v>0.23419152674892524</v>
      </c>
      <c r="E19" s="36">
        <f>0.0729956081081081*0.7158*2/3</f>
        <v>3.4833504189189186E-2</v>
      </c>
      <c r="F19" t="s">
        <v>135</v>
      </c>
      <c r="G19" t="str">
        <f t="shared" si="0"/>
        <v>Subsidy slide, penalty</v>
      </c>
    </row>
    <row r="20" spans="1:7" x14ac:dyDescent="0.25">
      <c r="A20" t="s">
        <v>89</v>
      </c>
      <c r="B20">
        <v>4</v>
      </c>
      <c r="C20" s="7">
        <f>B$11</f>
        <v>6.4000000032026785</v>
      </c>
      <c r="D20" s="37">
        <f>B$12*D18/52</f>
        <v>8.0156553713026449E-3</v>
      </c>
      <c r="E20" s="36">
        <f>(1-3731299235/4810648066)*0.7158</f>
        <v>0.16060162427807914</v>
      </c>
      <c r="F20" s="63" t="s">
        <v>133</v>
      </c>
      <c r="G20" t="str">
        <f t="shared" si="0"/>
        <v>Without ESI spouse</v>
      </c>
    </row>
    <row r="23" spans="1:7" x14ac:dyDescent="0.25">
      <c r="A23" s="1" t="s">
        <v>95</v>
      </c>
      <c r="B23" s="10" t="s">
        <v>33</v>
      </c>
      <c r="C23" s="10" t="s">
        <v>34</v>
      </c>
      <c r="D23" s="10" t="s">
        <v>46</v>
      </c>
    </row>
    <row r="24" spans="1:7" x14ac:dyDescent="0.25">
      <c r="A24" t="s">
        <v>85</v>
      </c>
      <c r="B24" s="38">
        <v>0.96211940551208697</v>
      </c>
      <c r="C24" s="39">
        <f>'Sectors (1)'!$G$4</f>
        <v>0.96211936779053953</v>
      </c>
      <c r="D24" s="41">
        <f>(1-C24/B24)^2</f>
        <v>1.5371669961910627E-15</v>
      </c>
    </row>
    <row r="25" spans="1:7" x14ac:dyDescent="0.25">
      <c r="A25" t="s">
        <v>87</v>
      </c>
      <c r="B25" s="38">
        <v>0.85314373116775044</v>
      </c>
      <c r="C25" s="39">
        <f>'Sectors (2)'!$G$4</f>
        <v>0.85314373742018812</v>
      </c>
      <c r="D25" s="41">
        <f t="shared" ref="D25:D27" si="1">(1-C25/B25)^2</f>
        <v>5.3709900355437706E-17</v>
      </c>
    </row>
    <row r="26" spans="1:7" x14ac:dyDescent="0.25">
      <c r="A26" t="s">
        <v>88</v>
      </c>
      <c r="B26" s="38">
        <v>0.81525609874077176</v>
      </c>
      <c r="C26" s="39">
        <f>'Sectors (3)'!$G$4</f>
        <v>0.81525610976245499</v>
      </c>
      <c r="D26" s="41">
        <f t="shared" si="1"/>
        <v>1.8277118765714449E-16</v>
      </c>
    </row>
    <row r="27" spans="1:7" x14ac:dyDescent="0.25">
      <c r="A27" t="s">
        <v>89</v>
      </c>
      <c r="B27" s="38">
        <v>0.93816857754198113</v>
      </c>
      <c r="C27" s="39">
        <f>'Sectors (4)'!$G$4</f>
        <v>0.93816990200932548</v>
      </c>
      <c r="D27" s="41">
        <f t="shared" si="1"/>
        <v>1.9930617027450455E-12</v>
      </c>
    </row>
    <row r="28" spans="1:7" x14ac:dyDescent="0.25">
      <c r="B28" s="39"/>
      <c r="C28" s="39"/>
      <c r="D28" s="41"/>
    </row>
    <row r="29" spans="1:7" x14ac:dyDescent="0.25">
      <c r="A29" s="1" t="s">
        <v>114</v>
      </c>
      <c r="B29" s="39"/>
      <c r="C29" s="39"/>
      <c r="D29" s="41"/>
    </row>
    <row r="30" spans="1:7" x14ac:dyDescent="0.25">
      <c r="A30" t="s">
        <v>85</v>
      </c>
      <c r="B30" s="38">
        <v>0.7537696874040668</v>
      </c>
      <c r="C30" s="39">
        <f>'Sectors (1)'!$G$5</f>
        <v>0.75376969889498102</v>
      </c>
      <c r="D30" s="41">
        <f t="shared" ref="D30:D33" si="2">(1-C30/B30)^2</f>
        <v>2.3239770134710701E-16</v>
      </c>
      <c r="G30" s="3"/>
    </row>
    <row r="31" spans="1:7" x14ac:dyDescent="0.25">
      <c r="A31" t="s">
        <v>87</v>
      </c>
      <c r="B31" s="38">
        <v>0.67383493273140516</v>
      </c>
      <c r="C31" s="39">
        <f>'Sectors (2)'!$G$5</f>
        <v>0.67383494273686373</v>
      </c>
      <c r="D31" s="41">
        <f t="shared" si="2"/>
        <v>2.204788617891561E-16</v>
      </c>
      <c r="G31" s="3"/>
    </row>
    <row r="32" spans="1:7" x14ac:dyDescent="0.25">
      <c r="A32" t="s">
        <v>88</v>
      </c>
      <c r="B32" s="38">
        <v>0.64352984139849079</v>
      </c>
      <c r="C32" s="39">
        <f>'Sectors (3)'!$G$5</f>
        <v>0.64352984193861684</v>
      </c>
      <c r="D32" s="41">
        <f t="shared" si="2"/>
        <v>7.0445424590126438E-19</v>
      </c>
      <c r="G32" s="3"/>
    </row>
    <row r="33" spans="1:9" x14ac:dyDescent="0.25">
      <c r="A33" t="s">
        <v>89</v>
      </c>
      <c r="B33" s="38">
        <v>0.73310540867170826</v>
      </c>
      <c r="C33" s="39">
        <f>'Sectors (4)'!$G$5</f>
        <v>0.73310497634972027</v>
      </c>
      <c r="D33" s="41">
        <f t="shared" si="2"/>
        <v>3.4776174106879292E-13</v>
      </c>
    </row>
    <row r="34" spans="1:9" x14ac:dyDescent="0.25">
      <c r="D34" s="40">
        <f>SUM(D24:D33)</f>
        <v>2.3430506729154243E-12</v>
      </c>
      <c r="G34" s="3"/>
    </row>
    <row r="37" spans="1:9" hidden="1" x14ac:dyDescent="0.25">
      <c r="A37" t="s">
        <v>96</v>
      </c>
      <c r="B37" s="2">
        <v>5</v>
      </c>
    </row>
    <row r="38" spans="1:9" hidden="1" x14ac:dyDescent="0.25">
      <c r="A38" t="str">
        <f>VLOOKUP(B38,$B$16:$G$20,6)</f>
        <v>Penalty, no subsidy</v>
      </c>
      <c r="B38">
        <v>1</v>
      </c>
    </row>
    <row r="39" spans="1:9" hidden="1" x14ac:dyDescent="0.25">
      <c r="A39" t="str">
        <f>VLOOKUP(B39,$B$16:$G$20,6)</f>
        <v>Subsidy slide, no penalty</v>
      </c>
      <c r="B39">
        <v>2</v>
      </c>
    </row>
    <row r="40" spans="1:9" hidden="1" x14ac:dyDescent="0.25">
      <c r="A40" t="str">
        <f>VLOOKUP(B40,$B$16:$G$20,6)</f>
        <v>Subsidy slide, penalty</v>
      </c>
      <c r="B40">
        <v>3</v>
      </c>
    </row>
    <row r="41" spans="1:9" hidden="1" x14ac:dyDescent="0.25">
      <c r="A41" t="str">
        <f>VLOOKUP(B41,$B$16:$G$20,6)</f>
        <v>Without ESI spouse</v>
      </c>
      <c r="B41">
        <v>4</v>
      </c>
    </row>
    <row r="42" spans="1:9" hidden="1" x14ac:dyDescent="0.25">
      <c r="A42" t="str">
        <f>VLOOKUP(B42,$B$16:$G$20,6)</f>
        <v>Zero-rate group</v>
      </c>
      <c r="B42">
        <v>0</v>
      </c>
    </row>
    <row r="43" spans="1:9" x14ac:dyDescent="0.25">
      <c r="A43" s="56" t="s">
        <v>178</v>
      </c>
      <c r="E43" s="95" t="s">
        <v>185</v>
      </c>
      <c r="F43" s="95"/>
      <c r="G43" s="95"/>
    </row>
    <row r="44" spans="1:9" x14ac:dyDescent="0.25">
      <c r="A44" s="1" t="s">
        <v>177</v>
      </c>
      <c r="B44" s="60" t="s">
        <v>179</v>
      </c>
      <c r="C44" s="60" t="s">
        <v>180</v>
      </c>
      <c r="D44" s="60" t="s">
        <v>181</v>
      </c>
      <c r="E44" s="76" t="s">
        <v>183</v>
      </c>
      <c r="F44" s="76" t="s">
        <v>182</v>
      </c>
      <c r="G44" s="76" t="s">
        <v>184</v>
      </c>
      <c r="H44" s="60" t="s">
        <v>186</v>
      </c>
      <c r="I44" s="76" t="s">
        <v>187</v>
      </c>
    </row>
    <row r="45" spans="1:9" x14ac:dyDescent="0.25">
      <c r="A45" s="35" t="s">
        <v>84</v>
      </c>
      <c r="B45" s="6">
        <f>E16</f>
        <v>0.56198162362732629</v>
      </c>
      <c r="C45" s="6">
        <f>B45</f>
        <v>0.56198162362732629</v>
      </c>
      <c r="D45" s="6">
        <f>C45</f>
        <v>0.56198162362732629</v>
      </c>
      <c r="E45" s="6">
        <f>1-SUM(E46:E49)</f>
        <v>0.49130151386885479</v>
      </c>
      <c r="F45" s="77">
        <f>1-SUM(F46:F49)</f>
        <v>0.30929093272603592</v>
      </c>
      <c r="G45" s="6">
        <f>1-SUM(G46:G49)</f>
        <v>0.5697910886799501</v>
      </c>
      <c r="H45" s="6">
        <f>1-SUM(H46:H49)</f>
        <v>0.74</v>
      </c>
    </row>
    <row r="46" spans="1:9" x14ac:dyDescent="0.25">
      <c r="A46" t="s">
        <v>85</v>
      </c>
      <c r="B46" s="6">
        <f t="shared" ref="B46:B49" si="3">E17</f>
        <v>0.22516649581081083</v>
      </c>
      <c r="C46" s="6">
        <f t="shared" ref="C46:D49" si="4">B46</f>
        <v>0.22516649581081083</v>
      </c>
      <c r="D46" s="6">
        <f t="shared" si="4"/>
        <v>0.22516649581081083</v>
      </c>
      <c r="E46" s="36">
        <f>0.26-E48</f>
        <v>0.21133626126126129</v>
      </c>
      <c r="F46" s="77">
        <f t="shared" ref="F46:G46" si="5">E46</f>
        <v>0.21133626126126129</v>
      </c>
      <c r="G46" s="6">
        <f t="shared" si="5"/>
        <v>0.21133626126126129</v>
      </c>
      <c r="H46" s="36">
        <f>0.26-H48</f>
        <v>0.26</v>
      </c>
    </row>
    <row r="47" spans="1:9" x14ac:dyDescent="0.25">
      <c r="A47" t="s">
        <v>87</v>
      </c>
      <c r="B47" s="6">
        <f t="shared" si="3"/>
        <v>1.7416752094594593E-2</v>
      </c>
      <c r="C47" s="6">
        <f t="shared" si="4"/>
        <v>1.7416752094594593E-2</v>
      </c>
      <c r="D47" s="6">
        <f t="shared" si="4"/>
        <v>1.7416752094594593E-2</v>
      </c>
      <c r="E47" s="36">
        <f>E48/2</f>
        <v>2.4331869369369364E-2</v>
      </c>
      <c r="F47" s="77">
        <f t="shared" ref="F47:G47" si="6">E47</f>
        <v>2.4331869369369364E-2</v>
      </c>
      <c r="G47" s="6">
        <f t="shared" si="6"/>
        <v>2.4331869369369364E-2</v>
      </c>
      <c r="H47" s="36">
        <v>0</v>
      </c>
    </row>
    <row r="48" spans="1:9" x14ac:dyDescent="0.25">
      <c r="A48" t="s">
        <v>88</v>
      </c>
      <c r="B48" s="6">
        <f t="shared" si="3"/>
        <v>3.4833504189189186E-2</v>
      </c>
      <c r="C48" s="6">
        <f t="shared" si="4"/>
        <v>3.4833504189189186E-2</v>
      </c>
      <c r="D48" s="6">
        <f t="shared" si="4"/>
        <v>3.4833504189189186E-2</v>
      </c>
      <c r="E48" s="36">
        <f>0.0729956081081081*2/3</f>
        <v>4.8663738738738728E-2</v>
      </c>
      <c r="F48" s="77">
        <f t="shared" ref="F48:G48" si="7">E48</f>
        <v>4.8663738738738728E-2</v>
      </c>
      <c r="G48" s="6">
        <f t="shared" si="7"/>
        <v>4.8663738738738728E-2</v>
      </c>
      <c r="H48" s="36">
        <v>0</v>
      </c>
    </row>
    <row r="49" spans="1:8" x14ac:dyDescent="0.25">
      <c r="A49" t="s">
        <v>89</v>
      </c>
      <c r="B49" s="6">
        <f t="shared" si="3"/>
        <v>0.16060162427807914</v>
      </c>
      <c r="C49" s="6">
        <f t="shared" si="4"/>
        <v>0.16060162427807914</v>
      </c>
      <c r="D49" s="6">
        <f t="shared" si="4"/>
        <v>0.16060162427807914</v>
      </c>
      <c r="E49" s="36">
        <f>(1-3731299235/4810648066)</f>
        <v>0.22436661676177583</v>
      </c>
      <c r="F49" s="78">
        <f>(1-860435162/1449464473)</f>
        <v>0.4063771979045947</v>
      </c>
      <c r="G49" s="36">
        <f>(1-(3731299235-860435162)/(4810648066-1449464473))</f>
        <v>0.14587704195068052</v>
      </c>
      <c r="H49" s="36">
        <v>0</v>
      </c>
    </row>
  </sheetData>
  <sortState ref="A40:B45">
    <sortCondition ref="A40:A45"/>
  </sortState>
  <mergeCells count="1">
    <mergeCell ref="E43:G43"/>
  </mergeCells>
  <dataValidations disablePrompts="1" count="1">
    <dataValidation type="list" allowBlank="1" showInputMessage="1" showErrorMessage="1" sqref="D4">
      <formula1>$A$37:$A$42</formula1>
    </dataValidation>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zoomScale="125" zoomScaleNormal="125" zoomScalePageLayoutView="125" workbookViewId="0"/>
  </sheetViews>
  <sheetFormatPr defaultColWidth="11" defaultRowHeight="15.75" x14ac:dyDescent="0.25"/>
  <cols>
    <col min="1" max="1" width="33.5" bestFit="1" customWidth="1"/>
    <col min="2" max="2" width="11.375" customWidth="1"/>
    <col min="4" max="6" width="7.125" customWidth="1"/>
  </cols>
  <sheetData>
    <row r="1" spans="1:13" x14ac:dyDescent="0.25">
      <c r="A1" s="5" t="s">
        <v>75</v>
      </c>
    </row>
    <row r="3" spans="1:13" x14ac:dyDescent="0.25">
      <c r="A3" s="1" t="s">
        <v>94</v>
      </c>
    </row>
    <row r="4" spans="1:13" x14ac:dyDescent="0.25">
      <c r="A4" t="s">
        <v>2</v>
      </c>
      <c r="B4" s="9">
        <f>(1-EXP(-$B$18))/($B$14/$B$15-EXP(-$B$18))</f>
        <v>9.4905032911790893E-2</v>
      </c>
    </row>
    <row r="5" spans="1:13" x14ac:dyDescent="0.25">
      <c r="A5" t="s">
        <v>1</v>
      </c>
      <c r="B5" s="2">
        <v>0.25</v>
      </c>
    </row>
    <row r="6" spans="1:13" x14ac:dyDescent="0.25">
      <c r="A6" t="s">
        <v>27</v>
      </c>
      <c r="B6" s="13">
        <v>0.5</v>
      </c>
    </row>
    <row r="7" spans="1:13" x14ac:dyDescent="0.25">
      <c r="A7" t="s">
        <v>38</v>
      </c>
      <c r="B7" s="2">
        <v>2</v>
      </c>
    </row>
    <row r="8" spans="1:13" x14ac:dyDescent="0.25">
      <c r="A8" t="s">
        <v>26</v>
      </c>
      <c r="B8" s="9">
        <f>B20/B19</f>
        <v>2.5154080293418805E-2</v>
      </c>
    </row>
    <row r="9" spans="1:13" x14ac:dyDescent="0.25">
      <c r="B9" s="16"/>
    </row>
    <row r="10" spans="1:13" x14ac:dyDescent="0.25">
      <c r="A10" s="1" t="s">
        <v>93</v>
      </c>
    </row>
    <row r="11" spans="1:13" x14ac:dyDescent="0.25">
      <c r="A11" t="s">
        <v>9</v>
      </c>
      <c r="B11" s="4">
        <v>29</v>
      </c>
    </row>
    <row r="13" spans="1:13" x14ac:dyDescent="0.25">
      <c r="A13" s="1" t="s">
        <v>24</v>
      </c>
    </row>
    <row r="14" spans="1:13" x14ac:dyDescent="0.25">
      <c r="A14" t="s">
        <v>3</v>
      </c>
      <c r="B14" s="7">
        <f>'hours (1)'!B9</f>
        <v>43.288296761716524</v>
      </c>
      <c r="M14" s="6"/>
    </row>
    <row r="15" spans="1:13" x14ac:dyDescent="0.25">
      <c r="A15" t="s">
        <v>17</v>
      </c>
      <c r="B15" s="7">
        <f>'hours (1)'!B10</f>
        <v>22.693124757509004</v>
      </c>
    </row>
    <row r="16" spans="1:13" x14ac:dyDescent="0.25">
      <c r="A16" t="s">
        <v>6</v>
      </c>
      <c r="B16" s="4">
        <v>4.1410920000000004</v>
      </c>
    </row>
    <row r="17" spans="1:3" x14ac:dyDescent="0.25">
      <c r="A17" t="s">
        <v>18</v>
      </c>
      <c r="B17" s="4">
        <v>34.999000000000002</v>
      </c>
    </row>
    <row r="18" spans="1:3" x14ac:dyDescent="0.25">
      <c r="A18" t="s">
        <v>19</v>
      </c>
      <c r="B18" s="4">
        <v>0.1</v>
      </c>
      <c r="C18" t="s">
        <v>20</v>
      </c>
    </row>
    <row r="19" spans="1:3" x14ac:dyDescent="0.25">
      <c r="A19" t="s">
        <v>25</v>
      </c>
      <c r="B19" s="7">
        <f>'hours (1)'!$A$105/'hours (1)'!$B$105</f>
        <v>39.754981630619795</v>
      </c>
    </row>
    <row r="20" spans="1:3" x14ac:dyDescent="0.25">
      <c r="A20" t="s">
        <v>54</v>
      </c>
      <c r="B20" s="15">
        <v>1</v>
      </c>
    </row>
    <row r="21" spans="1:3" x14ac:dyDescent="0.25">
      <c r="A21" t="s">
        <v>130</v>
      </c>
      <c r="B21">
        <f>ParametersTax!$B$4</f>
        <v>0.25</v>
      </c>
    </row>
    <row r="22" spans="1:3" x14ac:dyDescent="0.25">
      <c r="A22" t="s">
        <v>122</v>
      </c>
      <c r="B22" s="9">
        <f>'hours (1)'!$P$105</f>
        <v>0.46761734886462625</v>
      </c>
    </row>
    <row r="23" spans="1:3" x14ac:dyDescent="0.25">
      <c r="A23" t="s">
        <v>123</v>
      </c>
      <c r="B23" s="7">
        <f>'hours (1)'!$P$106</f>
        <v>37.323675312687875</v>
      </c>
    </row>
    <row r="24" spans="1:3" x14ac:dyDescent="0.25">
      <c r="A24" t="s">
        <v>195</v>
      </c>
    </row>
    <row r="25" spans="1:3" x14ac:dyDescent="0.25">
      <c r="A25" s="33" t="s">
        <v>196</v>
      </c>
      <c r="B25" s="9">
        <f>(ParametersTax!$E$17*'Sectors (1)'!$U$51+ParametersTax!$E$18*'Sectors (2)'!$U$51+ParametersTax!$E$19*'Sectors (3)'!$U$51+ParametersTax!$E$20*'Sectors (4)'!$U$51)/SUM(ParametersTax!$E$17:$E$20)</f>
        <v>0.56939735026276894</v>
      </c>
      <c r="C25" t="s">
        <v>197</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ColWidth="8.875" defaultRowHeight="15.75" x14ac:dyDescent="0.25"/>
  <cols>
    <col min="1" max="1" width="37.625" customWidth="1"/>
    <col min="2" max="2" width="1.875" hidden="1" customWidth="1"/>
    <col min="3" max="3" width="22.125" customWidth="1"/>
    <col min="4" max="4" width="1.625" customWidth="1"/>
    <col min="5" max="5" width="20.625" customWidth="1"/>
    <col min="6" max="6" width="9.625" customWidth="1"/>
  </cols>
  <sheetData>
    <row r="1" spans="1:6" ht="18.75" x14ac:dyDescent="0.3">
      <c r="A1" s="62" t="s">
        <v>124</v>
      </c>
      <c r="B1" s="56"/>
    </row>
    <row r="2" spans="1:6" x14ac:dyDescent="0.25">
      <c r="A2" t="s">
        <v>194</v>
      </c>
    </row>
    <row r="3" spans="1:6" x14ac:dyDescent="0.25">
      <c r="E3" s="96" t="s">
        <v>198</v>
      </c>
    </row>
    <row r="4" spans="1:6" x14ac:dyDescent="0.25">
      <c r="A4" s="58" t="s">
        <v>126</v>
      </c>
      <c r="C4" s="60" t="s">
        <v>125</v>
      </c>
      <c r="D4" s="60"/>
      <c r="E4" s="96"/>
      <c r="F4" s="60" t="s">
        <v>127</v>
      </c>
    </row>
    <row r="5" spans="1:6" x14ac:dyDescent="0.25">
      <c r="A5" t="s">
        <v>128</v>
      </c>
      <c r="B5">
        <v>0</v>
      </c>
      <c r="C5" s="59">
        <f>VLOOKUP($B5,ParametersTax!$B$16:$E$20,3)+ParametersOther!$B$21</f>
        <v>0.25</v>
      </c>
      <c r="D5" s="59"/>
      <c r="E5" s="82">
        <f>VLOOKUP($B5,ParametersTax!$B$16:$E$20,2)</f>
        <v>0</v>
      </c>
      <c r="F5" s="59">
        <f>VLOOKUP($B5,ParametersTax!$B$16:$E$20,4)</f>
        <v>0.56198162362732629</v>
      </c>
    </row>
    <row r="6" spans="1:6" ht="3.95" customHeight="1" x14ac:dyDescent="0.25">
      <c r="C6" s="59"/>
      <c r="D6" s="59"/>
      <c r="E6" s="61"/>
      <c r="F6" s="59"/>
    </row>
    <row r="7" spans="1:6" ht="31.5" x14ac:dyDescent="0.25">
      <c r="A7" s="57" t="s">
        <v>129</v>
      </c>
      <c r="B7">
        <v>1</v>
      </c>
      <c r="C7" s="59">
        <f>VLOOKUP($B7,ParametersTax!$B$16:$E$20,3)+ParametersOther!$B$21</f>
        <v>0.25</v>
      </c>
      <c r="D7" s="59"/>
      <c r="E7" s="80">
        <f>VLOOKUP($B7,ParametersTax!$B$16:$E$20,2)</f>
        <v>4.2</v>
      </c>
      <c r="F7" s="59">
        <f>VLOOKUP($B7,ParametersTax!$B$16:$E$20,4)</f>
        <v>0.22516649581081083</v>
      </c>
    </row>
    <row r="8" spans="1:6" ht="3.95" customHeight="1" x14ac:dyDescent="0.25">
      <c r="A8" s="57"/>
      <c r="C8" s="59"/>
      <c r="D8" s="59"/>
      <c r="E8" s="61"/>
      <c r="F8" s="59"/>
    </row>
    <row r="9" spans="1:6" ht="15.75" customHeight="1" x14ac:dyDescent="0.25">
      <c r="A9" t="s">
        <v>164</v>
      </c>
      <c r="C9" s="59"/>
      <c r="D9" s="59"/>
      <c r="E9" s="61"/>
      <c r="F9" s="59"/>
    </row>
    <row r="10" spans="1:6" x14ac:dyDescent="0.25">
      <c r="A10" s="57" t="s">
        <v>165</v>
      </c>
      <c r="B10">
        <v>2</v>
      </c>
      <c r="C10" s="59">
        <f>VLOOKUP($B10,ParametersTax!$B$16:$E$20,3)+ParametersOther!$B$21</f>
        <v>0.48419152674892524</v>
      </c>
      <c r="D10" s="59"/>
      <c r="E10" s="82">
        <f>VLOOKUP($B10,ParametersTax!$B$16:$E$20,2)</f>
        <v>0</v>
      </c>
      <c r="F10" s="59">
        <f>VLOOKUP($B10,ParametersTax!$B$16:$E$20,4)</f>
        <v>1.7416752094594593E-2</v>
      </c>
    </row>
    <row r="11" spans="1:6" ht="3.95" customHeight="1" x14ac:dyDescent="0.25">
      <c r="A11" s="57"/>
      <c r="C11" s="59"/>
      <c r="D11" s="59"/>
      <c r="E11" s="61"/>
      <c r="F11" s="59"/>
    </row>
    <row r="12" spans="1:6" ht="15.75" customHeight="1" x14ac:dyDescent="0.25">
      <c r="A12" t="s">
        <v>164</v>
      </c>
      <c r="C12" s="59"/>
      <c r="D12" s="59"/>
      <c r="E12" s="61"/>
      <c r="F12" s="59"/>
    </row>
    <row r="13" spans="1:6" x14ac:dyDescent="0.25">
      <c r="A13" s="57" t="s">
        <v>166</v>
      </c>
      <c r="B13">
        <v>3</v>
      </c>
      <c r="C13" s="59">
        <f>VLOOKUP($B13,ParametersTax!$B$16:$E$20,3)+ParametersOther!$B$21</f>
        <v>0.48419152674892524</v>
      </c>
      <c r="D13" s="59"/>
      <c r="E13" s="80">
        <f>VLOOKUP($B13,ParametersTax!$B$16:$E$20,2)</f>
        <v>4.2</v>
      </c>
      <c r="F13" s="59">
        <f>VLOOKUP($B13,ParametersTax!$B$16:$E$20,4)</f>
        <v>3.4833504189189186E-2</v>
      </c>
    </row>
    <row r="14" spans="1:6" ht="3.95" customHeight="1" x14ac:dyDescent="0.25">
      <c r="A14" s="57"/>
      <c r="C14" s="59"/>
      <c r="D14" s="59"/>
      <c r="E14" s="61"/>
      <c r="F14" s="59"/>
    </row>
    <row r="15" spans="1:6" ht="31.5" x14ac:dyDescent="0.25">
      <c r="A15" s="66" t="s">
        <v>163</v>
      </c>
      <c r="B15" s="58">
        <v>4</v>
      </c>
      <c r="C15" s="64">
        <f>VLOOKUP($B15,ParametersTax!$B$16:$E$20,3)+ParametersOther!$B$21</f>
        <v>0.25801565537130267</v>
      </c>
      <c r="D15" s="64"/>
      <c r="E15" s="81">
        <f>VLOOKUP($B15,ParametersTax!$B$16:$E$20,2)</f>
        <v>6.4000000032026785</v>
      </c>
      <c r="F15" s="64">
        <f>VLOOKUP($B15,ParametersTax!$B$16:$E$20,4)</f>
        <v>0.16060162427807914</v>
      </c>
    </row>
    <row r="16" spans="1:6" ht="3.95" customHeight="1" x14ac:dyDescent="0.25">
      <c r="A16" s="66"/>
      <c r="B16" s="58"/>
      <c r="C16" s="64"/>
      <c r="D16" s="64"/>
      <c r="E16" s="65"/>
      <c r="F16" s="64"/>
    </row>
    <row r="17" spans="1:6" x14ac:dyDescent="0.25">
      <c r="A17" t="s">
        <v>137</v>
      </c>
      <c r="C17" s="59">
        <f>SUMPRODUCT(C$5:C$15,$F$5:$F$15)</f>
        <v>0.26352389456440645</v>
      </c>
      <c r="E17" s="80">
        <f>SUMPRODUCT(E$5:E$15,$F$5:$F$15)</f>
        <v>2.119850395894062</v>
      </c>
    </row>
    <row r="18" spans="1:6" x14ac:dyDescent="0.25">
      <c r="C18" s="59"/>
      <c r="E18" s="61"/>
    </row>
    <row r="19" spans="1:6" ht="15.75" customHeight="1" x14ac:dyDescent="0.25">
      <c r="A19" s="97" t="s">
        <v>211</v>
      </c>
      <c r="B19" s="97"/>
      <c r="C19" s="97"/>
      <c r="D19" s="97"/>
      <c r="E19" s="97"/>
      <c r="F19" s="97"/>
    </row>
    <row r="20" spans="1:6" x14ac:dyDescent="0.25">
      <c r="A20" s="97"/>
      <c r="B20" s="97"/>
      <c r="C20" s="97"/>
      <c r="D20" s="97"/>
      <c r="E20" s="97"/>
      <c r="F20" s="97"/>
    </row>
    <row r="21" spans="1:6" x14ac:dyDescent="0.25">
      <c r="A21" s="97"/>
      <c r="B21" s="97"/>
      <c r="C21" s="97"/>
      <c r="D21" s="97"/>
      <c r="E21" s="97"/>
      <c r="F21" s="97"/>
    </row>
  </sheetData>
  <mergeCells count="2">
    <mergeCell ref="E3:E4"/>
    <mergeCell ref="A19:F21"/>
  </mergeCells>
  <pageMargins left="0.7" right="0.7" top="0.75" bottom="0.75" header="0.3" footer="0.3"/>
  <pageSetup orientation="landscape"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ColWidth="8.875" defaultRowHeight="15.75" x14ac:dyDescent="0.25"/>
  <cols>
    <col min="1" max="1" width="38.625" customWidth="1"/>
    <col min="2" max="2" width="14.125" customWidth="1"/>
    <col min="3" max="3" width="1.625" customWidth="1"/>
    <col min="4" max="4" width="12.375" bestFit="1" customWidth="1"/>
    <col min="5" max="5" width="1.625" customWidth="1"/>
    <col min="6" max="6" width="45.625" customWidth="1"/>
  </cols>
  <sheetData>
    <row r="1" spans="1:6" ht="18.75" x14ac:dyDescent="0.3">
      <c r="A1" s="62" t="s">
        <v>138</v>
      </c>
    </row>
    <row r="3" spans="1:6" x14ac:dyDescent="0.25">
      <c r="A3" s="58" t="s">
        <v>140</v>
      </c>
      <c r="B3" s="60" t="s">
        <v>145</v>
      </c>
      <c r="C3" s="60"/>
      <c r="D3" s="60" t="s">
        <v>146</v>
      </c>
      <c r="E3" s="60"/>
      <c r="F3" s="58" t="s">
        <v>141</v>
      </c>
    </row>
    <row r="4" spans="1:6" x14ac:dyDescent="0.25">
      <c r="A4" s="69" t="s">
        <v>157</v>
      </c>
      <c r="B4" s="70">
        <v>1</v>
      </c>
      <c r="C4" s="70"/>
      <c r="D4" s="60"/>
      <c r="E4" s="60"/>
      <c r="F4" s="69" t="s">
        <v>158</v>
      </c>
    </row>
    <row r="5" spans="1:6" x14ac:dyDescent="0.25">
      <c r="A5" s="69" t="s">
        <v>159</v>
      </c>
      <c r="B5" s="70">
        <v>1</v>
      </c>
      <c r="C5" s="70"/>
      <c r="D5" s="60"/>
      <c r="E5" s="60"/>
      <c r="F5" s="69" t="s">
        <v>158</v>
      </c>
    </row>
    <row r="6" spans="1:6" x14ac:dyDescent="0.25">
      <c r="A6" s="71" t="s">
        <v>139</v>
      </c>
      <c r="B6" s="72">
        <f>ParametersOther!$B$8</f>
        <v>2.5154080293418805E-2</v>
      </c>
      <c r="C6" s="9"/>
      <c r="D6" s="9"/>
      <c r="E6" s="9"/>
      <c r="F6" s="57" t="str">
        <f>"inverse of 2011 weekly work hours per employee ("&amp;TEXT(ParametersOther!$B$19,"0.0")&amp;")."</f>
        <v>inverse of 2011 weekly work hours per employee (39.8).</v>
      </c>
    </row>
    <row r="7" spans="1:6" ht="31.5" x14ac:dyDescent="0.25">
      <c r="A7" s="71" t="s">
        <v>147</v>
      </c>
      <c r="B7" s="71">
        <v>0.5</v>
      </c>
      <c r="C7" s="71"/>
      <c r="D7" s="73" t="s">
        <v>199</v>
      </c>
      <c r="E7" s="67"/>
      <c r="F7" s="57" t="s">
        <v>148</v>
      </c>
    </row>
    <row r="8" spans="1:6" x14ac:dyDescent="0.25">
      <c r="A8" t="s">
        <v>149</v>
      </c>
      <c r="B8">
        <v>2</v>
      </c>
      <c r="D8" s="67">
        <v>4</v>
      </c>
      <c r="E8" s="67"/>
      <c r="F8" t="s">
        <v>150</v>
      </c>
    </row>
    <row r="9" spans="1:6" x14ac:dyDescent="0.25">
      <c r="A9" t="s">
        <v>154</v>
      </c>
      <c r="B9" s="68" t="str">
        <f>TEXT(ParametersOther!$B$16,"0.00")&amp;"*A"</f>
        <v>4.14*A</v>
      </c>
      <c r="C9" s="68"/>
      <c r="D9" t="s">
        <v>155</v>
      </c>
    </row>
    <row r="10" spans="1:6" x14ac:dyDescent="0.25">
      <c r="A10" t="s">
        <v>156</v>
      </c>
      <c r="B10" s="68" t="str">
        <f>TEXT(ParametersOther!$B$4*ParametersOther!$B$14,"0.00")&amp;"*A"</f>
        <v>4.11*A</v>
      </c>
      <c r="C10" s="68"/>
      <c r="D10" t="s">
        <v>213</v>
      </c>
      <c r="F10" s="98" t="s">
        <v>214</v>
      </c>
    </row>
    <row r="11" spans="1:6" x14ac:dyDescent="0.25">
      <c r="B11" s="68"/>
      <c r="C11" s="68"/>
      <c r="F11" s="98"/>
    </row>
    <row r="12" spans="1:6" ht="31.5" x14ac:dyDescent="0.25">
      <c r="A12" s="71" t="s">
        <v>161</v>
      </c>
      <c r="B12" s="74">
        <v>0.25</v>
      </c>
      <c r="C12" s="74"/>
      <c r="D12" s="73" t="s">
        <v>162</v>
      </c>
      <c r="E12" s="67"/>
      <c r="F12" s="57" t="s">
        <v>160</v>
      </c>
    </row>
    <row r="14" spans="1:6" x14ac:dyDescent="0.25">
      <c r="A14" t="s">
        <v>142</v>
      </c>
    </row>
    <row r="15" spans="1:6" x14ac:dyDescent="0.25">
      <c r="A15" t="s">
        <v>143</v>
      </c>
    </row>
    <row r="16" spans="1:6" x14ac:dyDescent="0.25">
      <c r="A16" t="s">
        <v>144</v>
      </c>
    </row>
    <row r="17" spans="1:1" x14ac:dyDescent="0.25">
      <c r="A17" t="s">
        <v>151</v>
      </c>
    </row>
    <row r="18" spans="1:1" x14ac:dyDescent="0.25">
      <c r="A18" t="s">
        <v>152</v>
      </c>
    </row>
    <row r="19" spans="1:1" x14ac:dyDescent="0.25">
      <c r="A19" t="s">
        <v>153</v>
      </c>
    </row>
  </sheetData>
  <mergeCells count="1">
    <mergeCell ref="F10:F11"/>
  </mergeCells>
  <pageMargins left="0.7" right="0.7" top="0.75" bottom="0.75" header="0.3" footer="0.3"/>
  <pageSetup orientation="landscape" horizontalDpi="1200" verticalDpi="120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zoomScale="125" zoomScaleNormal="125" zoomScalePageLayoutView="125" workbookViewId="0"/>
  </sheetViews>
  <sheetFormatPr defaultColWidth="11" defaultRowHeight="15.75" x14ac:dyDescent="0.25"/>
  <cols>
    <col min="1" max="1" width="31.125" bestFit="1" customWidth="1"/>
  </cols>
  <sheetData>
    <row r="1" spans="1:7" x14ac:dyDescent="0.25">
      <c r="A1" s="5" t="s">
        <v>106</v>
      </c>
    </row>
    <row r="3" spans="1:7" x14ac:dyDescent="0.25">
      <c r="B3" s="6">
        <f>VLOOKUP(B4,ParametersTax!$B$16:$G$20,4)</f>
        <v>0.56198162362732629</v>
      </c>
      <c r="C3" s="6">
        <f>VLOOKUP(C4,ParametersTax!$B$16:$G$20,4)</f>
        <v>0.22516649581081083</v>
      </c>
      <c r="D3" s="6">
        <f>VLOOKUP(D4,ParametersTax!$B$16:$G$20,4)</f>
        <v>1.7416752094594593E-2</v>
      </c>
      <c r="E3" s="6">
        <f>VLOOKUP(E4,ParametersTax!$B$16:$G$20,4)</f>
        <v>3.4833504189189186E-2</v>
      </c>
      <c r="F3" s="6">
        <f>VLOOKUP(F4,ParametersTax!$B$16:$G$20,4)</f>
        <v>0.16060162427807914</v>
      </c>
      <c r="G3" s="43">
        <f>SUM(B3:F3)</f>
        <v>1</v>
      </c>
    </row>
    <row r="4" spans="1:7" x14ac:dyDescent="0.25">
      <c r="B4" s="46">
        <v>0</v>
      </c>
      <c r="C4" s="46">
        <v>1</v>
      </c>
      <c r="D4" s="46">
        <v>2</v>
      </c>
      <c r="E4" s="46">
        <v>3</v>
      </c>
      <c r="F4" s="46">
        <v>4</v>
      </c>
      <c r="G4" s="46">
        <v>5</v>
      </c>
    </row>
    <row r="5" spans="1:7" x14ac:dyDescent="0.25">
      <c r="A5" s="1" t="s">
        <v>101</v>
      </c>
      <c r="B5" s="47" t="str">
        <f>VLOOKUP(B4,ParametersTax!$B$16:$G$20,6)</f>
        <v>Zero-rate group</v>
      </c>
      <c r="C5" s="47" t="str">
        <f>VLOOKUP(C4,ParametersTax!$B$16:$G$20,6)</f>
        <v>Penalty, no subsidy</v>
      </c>
      <c r="D5" s="47" t="str">
        <f>VLOOKUP(D4,ParametersTax!$B$16:$G$20,6)</f>
        <v>Subsidy slide, no penalty</v>
      </c>
      <c r="E5" s="47" t="str">
        <f>VLOOKUP(E4,ParametersTax!$B$16:$G$20,6)</f>
        <v>Subsidy slide, penalty</v>
      </c>
      <c r="F5" s="47" t="str">
        <f>VLOOKUP(F4,ParametersTax!$B$16:$G$20,6)</f>
        <v>Without ESI spouse</v>
      </c>
      <c r="G5" s="47" t="s">
        <v>96</v>
      </c>
    </row>
    <row r="6" spans="1:7" x14ac:dyDescent="0.25">
      <c r="A6" s="53" t="s">
        <v>107</v>
      </c>
      <c r="B6" s="47"/>
      <c r="C6" s="47"/>
      <c r="D6" s="47"/>
      <c r="E6" s="47"/>
      <c r="F6" s="47"/>
      <c r="G6" s="47"/>
    </row>
    <row r="7" spans="1:7" x14ac:dyDescent="0.25">
      <c r="A7" t="s">
        <v>110</v>
      </c>
      <c r="B7" s="9">
        <f>'Sectors (1)'!$D$16</f>
        <v>1</v>
      </c>
      <c r="C7" s="9">
        <f>B7</f>
        <v>1</v>
      </c>
      <c r="D7" s="9">
        <f t="shared" ref="D7:F7" si="0">C7</f>
        <v>1</v>
      </c>
      <c r="E7" s="9">
        <f t="shared" si="0"/>
        <v>1</v>
      </c>
      <c r="F7" s="9">
        <f t="shared" si="0"/>
        <v>1</v>
      </c>
      <c r="G7" s="9">
        <f>SUMPRODUCT($B$3:$F$3,$B7:$F7)/G$3</f>
        <v>1</v>
      </c>
    </row>
    <row r="8" spans="1:7" x14ac:dyDescent="0.25">
      <c r="A8" t="s">
        <v>108</v>
      </c>
      <c r="B8" s="7">
        <f>ParametersOther!$B$19</f>
        <v>39.754981630619795</v>
      </c>
      <c r="C8" s="7">
        <f>B8</f>
        <v>39.754981630619795</v>
      </c>
      <c r="D8" s="7">
        <f t="shared" ref="D8:F8" si="1">C8</f>
        <v>39.754981630619795</v>
      </c>
      <c r="E8" s="7">
        <f t="shared" si="1"/>
        <v>39.754981630619795</v>
      </c>
      <c r="F8" s="7">
        <f t="shared" si="1"/>
        <v>39.754981630619795</v>
      </c>
      <c r="G8" s="7">
        <f>SUMPRODUCT($B$3:$F$3,$B8:$F8)/G$3</f>
        <v>39.754981630619795</v>
      </c>
    </row>
    <row r="9" spans="1:7" x14ac:dyDescent="0.25">
      <c r="A9" t="s">
        <v>215</v>
      </c>
      <c r="B9" s="7">
        <f t="shared" ref="B9:G9" si="2">B8/B7</f>
        <v>39.754981630619795</v>
      </c>
      <c r="C9" s="7">
        <f t="shared" si="2"/>
        <v>39.754981630619795</v>
      </c>
      <c r="D9" s="7">
        <f t="shared" si="2"/>
        <v>39.754981630619795</v>
      </c>
      <c r="E9" s="7">
        <f t="shared" si="2"/>
        <v>39.754981630619795</v>
      </c>
      <c r="F9" s="7">
        <f t="shared" si="2"/>
        <v>39.754981630619795</v>
      </c>
      <c r="G9" s="7">
        <f t="shared" si="2"/>
        <v>39.754981630619795</v>
      </c>
    </row>
    <row r="10" spans="1:7" x14ac:dyDescent="0.25">
      <c r="A10" s="52" t="str">
        <f>TEXT(ParametersOther!$B$11,"0")&amp;"ers percentage of employment"</f>
        <v>29ers percentage of employment</v>
      </c>
      <c r="B10" s="55">
        <f>VLOOKUP(ParametersOther!$B$11,'hours (1)'!$A$19:$B$103,2)/'hours (1)'!$B$105</f>
        <v>5.1335145872547774E-4</v>
      </c>
      <c r="C10" s="37">
        <f>B10</f>
        <v>5.1335145872547774E-4</v>
      </c>
      <c r="D10" s="37">
        <f t="shared" ref="D10:G10" si="3">C10</f>
        <v>5.1335145872547774E-4</v>
      </c>
      <c r="E10" s="37">
        <f t="shared" si="3"/>
        <v>5.1335145872547774E-4</v>
      </c>
      <c r="F10" s="37">
        <f t="shared" si="3"/>
        <v>5.1335145872547774E-4</v>
      </c>
      <c r="G10" s="37">
        <f t="shared" si="3"/>
        <v>5.1335145872547774E-4</v>
      </c>
    </row>
    <row r="12" spans="1:7" x14ac:dyDescent="0.25">
      <c r="A12" s="53" t="s">
        <v>109</v>
      </c>
    </row>
    <row r="13" spans="1:7" x14ac:dyDescent="0.25">
      <c r="A13" t="s">
        <v>110</v>
      </c>
      <c r="B13" s="9">
        <f>B7</f>
        <v>1</v>
      </c>
      <c r="C13" s="9">
        <f>'Sectors (1)'!$Q$16</f>
        <v>0.96213201898514533</v>
      </c>
      <c r="D13" s="9">
        <f>'Sectors (2)'!$Q$16</f>
        <v>0.84968599588552729</v>
      </c>
      <c r="E13" s="9">
        <f>'Sectors (3)'!$Q$16</f>
        <v>0.80647230524581381</v>
      </c>
      <c r="F13" s="9">
        <f>'Sectors (4)'!$Q$16</f>
        <v>0.93649688297642675</v>
      </c>
      <c r="G13" s="9">
        <f>SUMPRODUCT($B$3:$F$3,$B13:$F13)/G$3</f>
        <v>0.97191546615879632</v>
      </c>
    </row>
    <row r="14" spans="1:7" x14ac:dyDescent="0.25">
      <c r="A14" t="s">
        <v>108</v>
      </c>
      <c r="B14" s="7">
        <f>B8</f>
        <v>39.754981630619795</v>
      </c>
      <c r="C14" s="7">
        <f>'Sectors (1)'!$P$16</f>
        <v>38.251604267077198</v>
      </c>
      <c r="D14" s="7">
        <f>'Sectors (2)'!$P$16</f>
        <v>33.929099841876713</v>
      </c>
      <c r="E14" s="7">
        <f>'Sectors (3)'!$P$16</f>
        <v>32.423132518230538</v>
      </c>
      <c r="F14" s="7">
        <f>'Sectors (4)'!$P$16</f>
        <v>37.303171648360824</v>
      </c>
      <c r="G14" s="7">
        <f>SUMPRODUCT($B$3:$F$3,$B14:$F14)/G$3</f>
        <v>38.665844816599751</v>
      </c>
    </row>
    <row r="15" spans="1:7" x14ac:dyDescent="0.25">
      <c r="A15" t="s">
        <v>215</v>
      </c>
      <c r="B15" s="7">
        <f t="shared" ref="B15:G15" si="4">B14/B13</f>
        <v>39.754981630619795</v>
      </c>
      <c r="C15" s="7">
        <f t="shared" si="4"/>
        <v>39.757126373805647</v>
      </c>
      <c r="D15" s="7">
        <f t="shared" si="4"/>
        <v>39.931339349092632</v>
      </c>
      <c r="E15" s="7">
        <f t="shared" si="4"/>
        <v>40.203652756988255</v>
      </c>
      <c r="F15" s="7">
        <f t="shared" si="4"/>
        <v>39.83267037665069</v>
      </c>
      <c r="G15" s="7">
        <f t="shared" si="4"/>
        <v>39.783135635668891</v>
      </c>
    </row>
    <row r="16" spans="1:7" x14ac:dyDescent="0.25">
      <c r="A16" s="52" t="str">
        <f>TEXT(ParametersOther!$B$11,"0")&amp;"ers percentage of employment"</f>
        <v>29ers percentage of employment</v>
      </c>
      <c r="B16" s="37">
        <f>B10</f>
        <v>5.1335145872547774E-4</v>
      </c>
      <c r="C16" s="55">
        <f>VLOOKUP(ParametersOther!$B$11,'Sectors (1)'!$AA$19:$AB$103,2)-VLOOKUP(ParametersOther!$B$11-0.1,'Sectors (1)'!$AA$19:$AB$103,2)</f>
        <v>0.10930159738270334</v>
      </c>
      <c r="D16" s="55">
        <f>VLOOKUP(ParametersOther!$B$11,'Sectors (2)'!$AA$19:$AB$103,2)-VLOOKUP(ParametersOther!$B$11-0.1,'Sectors (2)'!$AA$19:$AB$103,2)</f>
        <v>5.1082728177553882E-4</v>
      </c>
      <c r="E16" s="55">
        <f>VLOOKUP(ParametersOther!$B$11,'Sectors (3)'!$AA$19:$AB$103,2)-VLOOKUP(ParametersOther!$B$11-0.1,'Sectors (3)'!$AA$19:$AB$103,2)</f>
        <v>5.7433037587471647E-2</v>
      </c>
      <c r="F16" s="55">
        <f>VLOOKUP(ParametersOther!$B$11,'Sectors (4)'!$AA$19:$AB$103,2)-VLOOKUP(ParametersOther!$B$11-0.1,'Sectors (4)'!$AA$19:$AB$103,2)</f>
        <v>0.12696526212305984</v>
      </c>
      <c r="G16" s="55">
        <f>SUMPRODUCT($B$3:$F$3,$B$13:$F$13,$B$16:$F$16)/SUMPRODUCT($B$3:$F$3,$B13:$F13)</f>
        <v>4.5975716728007592E-2</v>
      </c>
    </row>
    <row r="18" spans="1:8" x14ac:dyDescent="0.25">
      <c r="A18" s="53" t="s">
        <v>105</v>
      </c>
    </row>
    <row r="19" spans="1:8" x14ac:dyDescent="0.25">
      <c r="A19" t="s">
        <v>102</v>
      </c>
      <c r="B19">
        <f t="shared" ref="B19:G21" si="5">LN(B13/B7)</f>
        <v>0</v>
      </c>
      <c r="C19" s="6">
        <f t="shared" si="5"/>
        <v>-3.8603603859844543E-2</v>
      </c>
      <c r="D19" s="6">
        <f t="shared" si="5"/>
        <v>-0.16288841435416029</v>
      </c>
      <c r="E19" s="6">
        <f t="shared" si="5"/>
        <v>-0.21508572144131016</v>
      </c>
      <c r="F19" s="6">
        <f t="shared" si="5"/>
        <v>-6.5609085478944812E-2</v>
      </c>
      <c r="G19" s="6">
        <f t="shared" si="5"/>
        <v>-2.8486447276150115E-2</v>
      </c>
    </row>
    <row r="20" spans="1:8" x14ac:dyDescent="0.25">
      <c r="A20" t="s">
        <v>103</v>
      </c>
      <c r="B20">
        <f t="shared" si="5"/>
        <v>0</v>
      </c>
      <c r="C20" s="6">
        <f t="shared" si="5"/>
        <v>-3.8549656272736064E-2</v>
      </c>
      <c r="D20" s="6">
        <f t="shared" si="5"/>
        <v>-0.15846210870369168</v>
      </c>
      <c r="E20" s="6">
        <f t="shared" si="5"/>
        <v>-0.20386302263126363</v>
      </c>
      <c r="F20" s="6">
        <f t="shared" si="5"/>
        <v>-6.3656803466678111E-2</v>
      </c>
      <c r="G20" s="6">
        <f t="shared" si="5"/>
        <v>-2.7778509819429149E-2</v>
      </c>
    </row>
    <row r="21" spans="1:8" x14ac:dyDescent="0.25">
      <c r="A21" t="s">
        <v>112</v>
      </c>
      <c r="B21">
        <f t="shared" si="5"/>
        <v>0</v>
      </c>
      <c r="C21" s="6">
        <f t="shared" si="5"/>
        <v>5.3947587108466644E-5</v>
      </c>
      <c r="D21" s="6">
        <f t="shared" si="5"/>
        <v>4.4263056504687641E-3</v>
      </c>
      <c r="E21" s="6">
        <f t="shared" si="5"/>
        <v>1.1222698810046465E-2</v>
      </c>
      <c r="F21" s="6">
        <f t="shared" si="5"/>
        <v>1.9522820122666168E-3</v>
      </c>
      <c r="G21" s="6">
        <f t="shared" si="5"/>
        <v>7.0793745672093414E-4</v>
      </c>
    </row>
    <row r="22" spans="1:8" x14ac:dyDescent="0.25">
      <c r="A22" t="s">
        <v>104</v>
      </c>
      <c r="B22">
        <v>0</v>
      </c>
      <c r="C22" s="6">
        <f>'Sectors (1)'!$I5</f>
        <v>-4.3983938467990161E-2</v>
      </c>
      <c r="D22" s="6">
        <f>'Sectors (2)'!$I5</f>
        <v>-0.15608563184904906</v>
      </c>
      <c r="E22" s="6">
        <f>'Sectors (3)'!$I5</f>
        <v>-0.20210242030868295</v>
      </c>
      <c r="F22" s="6">
        <f>'Sectors (4)'!$I5</f>
        <v>-7.1781914390803281E-2</v>
      </c>
      <c r="G22" s="6">
        <f>LN(SUMPRODUCT($B$3:$F$3,EXP(B22:F22))/$G$3)</f>
        <v>-3.0154539086632126E-2</v>
      </c>
      <c r="H22" s="54"/>
    </row>
    <row r="23" spans="1:8" x14ac:dyDescent="0.25">
      <c r="A23" t="s">
        <v>113</v>
      </c>
      <c r="B23">
        <v>0</v>
      </c>
      <c r="C23" s="6">
        <f>'Sectors (1)'!$I4</f>
        <v>-3.8616753071733317E-2</v>
      </c>
      <c r="D23" s="6">
        <f>'Sectors (2)'!$I4</f>
        <v>-0.15882723757359074</v>
      </c>
      <c r="E23" s="6">
        <f>'Sectors (3)'!$I4</f>
        <v>-0.20425296999861986</v>
      </c>
      <c r="F23" s="6">
        <f>'Sectors (4)'!$I4</f>
        <v>-6.3824214172265845E-2</v>
      </c>
      <c r="G23" s="6">
        <f>LN(SUMPRODUCT($B$3:$F$3,EXP(B23:F23))/$G$3)</f>
        <v>-2.7836361056316258E-2</v>
      </c>
      <c r="H23" s="54"/>
    </row>
    <row r="24" spans="1:8" x14ac:dyDescent="0.25">
      <c r="A24" s="52" t="str">
        <f>TEXT(ParametersOther!$B$11,"0")&amp;"ers percentage of employment (pts)"</f>
        <v>29ers percentage of employment (pts)</v>
      </c>
      <c r="B24" s="37">
        <f t="shared" ref="B24:G24" si="6">B16-B10</f>
        <v>0</v>
      </c>
      <c r="C24" s="37">
        <f t="shared" si="6"/>
        <v>0.10878824592397786</v>
      </c>
      <c r="D24" s="37">
        <f t="shared" si="6"/>
        <v>-2.5241769499389187E-6</v>
      </c>
      <c r="E24" s="37">
        <f t="shared" si="6"/>
        <v>5.6919686128746171E-2</v>
      </c>
      <c r="F24" s="37">
        <f t="shared" si="6"/>
        <v>0.12645191066433437</v>
      </c>
      <c r="G24" s="37">
        <f t="shared" si="6"/>
        <v>4.5462365269282115E-2</v>
      </c>
    </row>
    <row r="25" spans="1:8" x14ac:dyDescent="0.25">
      <c r="A25" s="52" t="s">
        <v>118</v>
      </c>
      <c r="B25">
        <f t="shared" ref="B25:G25" si="7">B23-B20</f>
        <v>0</v>
      </c>
      <c r="C25" s="28">
        <f t="shared" si="7"/>
        <v>-6.7096798997252904E-5</v>
      </c>
      <c r="D25" s="28">
        <f t="shared" si="7"/>
        <v>-3.6512886989906179E-4</v>
      </c>
      <c r="E25" s="28">
        <f t="shared" si="7"/>
        <v>-3.8994736735623037E-4</v>
      </c>
      <c r="F25" s="28">
        <f t="shared" si="7"/>
        <v>-1.6741070558773385E-4</v>
      </c>
      <c r="G25" s="28">
        <f t="shared" si="7"/>
        <v>-5.7851236887108276E-5</v>
      </c>
    </row>
    <row r="27" spans="1:8" x14ac:dyDescent="0.25">
      <c r="A27" s="33"/>
    </row>
    <row r="28" spans="1:8" x14ac:dyDescent="0.25">
      <c r="A28" s="33"/>
    </row>
    <row r="30" spans="1:8" x14ac:dyDescent="0.25">
      <c r="A30" s="33"/>
    </row>
    <row r="31" spans="1:8" x14ac:dyDescent="0.25">
      <c r="A31" s="33"/>
    </row>
  </sheetData>
  <pageMargins left="0.75" right="0.75" top="1" bottom="1"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zoomScale="125" zoomScaleNormal="125" zoomScalePageLayoutView="125" workbookViewId="0"/>
  </sheetViews>
  <sheetFormatPr defaultColWidth="11" defaultRowHeight="15.75" x14ac:dyDescent="0.25"/>
  <cols>
    <col min="1" max="1" width="31.125" bestFit="1" customWidth="1"/>
  </cols>
  <sheetData>
    <row r="1" spans="1:7" x14ac:dyDescent="0.25">
      <c r="A1" s="5" t="s">
        <v>121</v>
      </c>
    </row>
    <row r="3" spans="1:7" x14ac:dyDescent="0.25">
      <c r="B3" s="6">
        <f>VLOOKUP(B4,ParametersTax!$B$16:$G$20,4)</f>
        <v>0.56198162362732629</v>
      </c>
      <c r="C3" s="6">
        <f>VLOOKUP(C4,ParametersTax!$B$16:$G$20,4)</f>
        <v>0.22516649581081083</v>
      </c>
      <c r="D3" s="6">
        <f>VLOOKUP(D4,ParametersTax!$B$16:$G$20,4)</f>
        <v>1.7416752094594593E-2</v>
      </c>
      <c r="E3" s="6">
        <f>VLOOKUP(E4,ParametersTax!$B$16:$G$20,4)</f>
        <v>3.4833504189189186E-2</v>
      </c>
      <c r="F3" s="6">
        <f>VLOOKUP(F4,ParametersTax!$B$16:$G$20,4)</f>
        <v>0.16060162427807914</v>
      </c>
      <c r="G3" s="43">
        <f>SUM(B3:F3)</f>
        <v>1</v>
      </c>
    </row>
    <row r="4" spans="1:7" x14ac:dyDescent="0.25">
      <c r="B4" s="46">
        <v>0</v>
      </c>
      <c r="C4" s="46">
        <v>1</v>
      </c>
      <c r="D4" s="46">
        <v>2</v>
      </c>
      <c r="E4" s="46">
        <v>3</v>
      </c>
      <c r="F4" s="46">
        <v>4</v>
      </c>
      <c r="G4" s="46">
        <v>5</v>
      </c>
    </row>
    <row r="5" spans="1:7" x14ac:dyDescent="0.25">
      <c r="A5" s="1" t="s">
        <v>101</v>
      </c>
      <c r="B5" s="47" t="str">
        <f>VLOOKUP(B4,ParametersTax!$B$16:$G$20,6)</f>
        <v>Zero-rate group</v>
      </c>
      <c r="C5" s="47" t="str">
        <f>VLOOKUP(C4,ParametersTax!$B$16:$G$20,6)</f>
        <v>Penalty, no subsidy</v>
      </c>
      <c r="D5" s="47" t="str">
        <f>VLOOKUP(D4,ParametersTax!$B$16:$G$20,6)</f>
        <v>Subsidy slide, no penalty</v>
      </c>
      <c r="E5" s="47" t="str">
        <f>VLOOKUP(E4,ParametersTax!$B$16:$G$20,6)</f>
        <v>Subsidy slide, penalty</v>
      </c>
      <c r="F5" s="47" t="str">
        <f>VLOOKUP(F4,ParametersTax!$B$16:$G$20,6)</f>
        <v>Without ESI spouse</v>
      </c>
      <c r="G5" s="47" t="s">
        <v>96</v>
      </c>
    </row>
    <row r="6" spans="1:7" x14ac:dyDescent="0.25">
      <c r="A6" s="53" t="s">
        <v>107</v>
      </c>
      <c r="B6" s="47"/>
      <c r="C6" s="47"/>
      <c r="D6" s="47"/>
      <c r="E6" s="47"/>
      <c r="F6" s="47"/>
      <c r="G6" s="47"/>
    </row>
    <row r="7" spans="1:7" x14ac:dyDescent="0.25">
      <c r="A7" t="s">
        <v>110</v>
      </c>
      <c r="B7" s="9">
        <f>AggStats!B7*ParametersOther!$B$22</f>
        <v>0.46761734886462625</v>
      </c>
      <c r="C7" s="9">
        <f>B7</f>
        <v>0.46761734886462625</v>
      </c>
      <c r="D7" s="9">
        <f t="shared" ref="D7:F8" si="0">C7</f>
        <v>0.46761734886462625</v>
      </c>
      <c r="E7" s="9">
        <f t="shared" si="0"/>
        <v>0.46761734886462625</v>
      </c>
      <c r="F7" s="9">
        <f t="shared" si="0"/>
        <v>0.46761734886462625</v>
      </c>
      <c r="G7" s="9">
        <f>SUMPRODUCT($B$3:$F$3,$B7:$F7)/G$3</f>
        <v>0.46761734886462625</v>
      </c>
    </row>
    <row r="8" spans="1:7" x14ac:dyDescent="0.25">
      <c r="A8" t="s">
        <v>108</v>
      </c>
      <c r="B8" s="7">
        <f>B7*B9</f>
        <v>17.453198099603203</v>
      </c>
      <c r="C8" s="7">
        <f>B8</f>
        <v>17.453198099603203</v>
      </c>
      <c r="D8" s="7">
        <f t="shared" si="0"/>
        <v>17.453198099603203</v>
      </c>
      <c r="E8" s="7">
        <f t="shared" si="0"/>
        <v>17.453198099603203</v>
      </c>
      <c r="F8" s="7">
        <f t="shared" si="0"/>
        <v>17.453198099603203</v>
      </c>
      <c r="G8" s="7">
        <f>SUMPRODUCT($B$3:$F$3,$B8:$F8)/G$3</f>
        <v>17.453198099603203</v>
      </c>
    </row>
    <row r="9" spans="1:7" x14ac:dyDescent="0.25">
      <c r="A9" t="s">
        <v>215</v>
      </c>
      <c r="B9" s="7">
        <f>ParametersOther!$B$23</f>
        <v>37.323675312687875</v>
      </c>
      <c r="C9" s="7">
        <f>C8/C7</f>
        <v>37.323675312687868</v>
      </c>
      <c r="D9" s="7">
        <f>D8/D7</f>
        <v>37.323675312687868</v>
      </c>
      <c r="E9" s="7">
        <f>E8/E7</f>
        <v>37.323675312687868</v>
      </c>
      <c r="F9" s="7">
        <f>F8/F7</f>
        <v>37.323675312687868</v>
      </c>
      <c r="G9" s="7">
        <f>G8/G7</f>
        <v>37.323675312687868</v>
      </c>
    </row>
    <row r="10" spans="1:7" x14ac:dyDescent="0.25">
      <c r="A10" s="52" t="str">
        <f>TEXT(ParametersOther!$B$11,"0")&amp;"ers percentage of employment"</f>
        <v>29ers percentage of employment</v>
      </c>
      <c r="B10" s="55">
        <f>VLOOKUP(ParametersOther!$B$11,'hours (1)'!$A$19:$B$103,2)*VLOOKUP(ParametersOther!$B$11,'hours (1)'!$A$19:$P$103,16)/('hours (1)'!$B$105*ParametersOther!$B$22)</f>
        <v>8.8918583163805119E-4</v>
      </c>
      <c r="C10" s="37">
        <f>B10</f>
        <v>8.8918583163805119E-4</v>
      </c>
      <c r="D10" s="37">
        <f t="shared" ref="D10:G10" si="1">C10</f>
        <v>8.8918583163805119E-4</v>
      </c>
      <c r="E10" s="37">
        <f t="shared" si="1"/>
        <v>8.8918583163805119E-4</v>
      </c>
      <c r="F10" s="37">
        <f t="shared" si="1"/>
        <v>8.8918583163805119E-4</v>
      </c>
      <c r="G10" s="37">
        <f t="shared" si="1"/>
        <v>8.8918583163805119E-4</v>
      </c>
    </row>
    <row r="12" spans="1:7" x14ac:dyDescent="0.25">
      <c r="A12" s="53" t="s">
        <v>109</v>
      </c>
    </row>
    <row r="13" spans="1:7" x14ac:dyDescent="0.25">
      <c r="A13" t="s">
        <v>110</v>
      </c>
      <c r="B13" s="9">
        <f>B7</f>
        <v>0.46761734886462625</v>
      </c>
      <c r="C13" s="9">
        <f>'Sectors (1)'!$Q$17</f>
        <v>0.4525286867487841</v>
      </c>
      <c r="D13" s="9">
        <f>'Sectors (2)'!$Q$17</f>
        <v>0.39452929480104493</v>
      </c>
      <c r="E13" s="9">
        <f>'Sectors (3)'!$Q$17</f>
        <v>0.37550954267105585</v>
      </c>
      <c r="F13" s="9">
        <f>'Sectors (4)'!$Q$17</f>
        <v>0.44210728929445448</v>
      </c>
      <c r="G13" s="9">
        <f>SUMPRODUCT($B$3:$F$3,$B13:$F13)/G$3</f>
        <v>0.45564153651552619</v>
      </c>
    </row>
    <row r="14" spans="1:7" x14ac:dyDescent="0.25">
      <c r="A14" t="s">
        <v>108</v>
      </c>
      <c r="B14" s="7">
        <f>B8</f>
        <v>17.453198099603203</v>
      </c>
      <c r="C14" s="7">
        <f>'Sectors (1)'!$P$17</f>
        <v>16.796760080683143</v>
      </c>
      <c r="D14" s="7">
        <f>'Sectors (2)'!$P$17</f>
        <v>14.83248967998415</v>
      </c>
      <c r="E14" s="7">
        <f>'Sectors (3)'!$P$17</f>
        <v>14.16963145772154</v>
      </c>
      <c r="F14" s="7">
        <f>'Sectors (4)'!$P$17</f>
        <v>16.390350456337824</v>
      </c>
      <c r="G14" s="7">
        <f>SUMPRODUCT($B$3:$F$3,$B14:$F14)/G$3</f>
        <v>16.974672832065245</v>
      </c>
    </row>
    <row r="15" spans="1:7" x14ac:dyDescent="0.25">
      <c r="A15" t="s">
        <v>111</v>
      </c>
      <c r="B15" s="7">
        <f t="shared" ref="B15:G15" si="2">B14/B13</f>
        <v>37.323675312687868</v>
      </c>
      <c r="C15" s="7">
        <f t="shared" si="2"/>
        <v>37.117558670943801</v>
      </c>
      <c r="D15" s="7">
        <f t="shared" si="2"/>
        <v>37.595407680598086</v>
      </c>
      <c r="E15" s="7">
        <f t="shared" si="2"/>
        <v>37.734411106921065</v>
      </c>
      <c r="F15" s="7">
        <f t="shared" si="2"/>
        <v>37.073241842482815</v>
      </c>
      <c r="G15" s="7">
        <f t="shared" si="2"/>
        <v>37.25444559308044</v>
      </c>
    </row>
    <row r="16" spans="1:7" x14ac:dyDescent="0.25">
      <c r="A16" s="52" t="str">
        <f>TEXT(ParametersOther!$B$11,"0")&amp;"ers percentage of employment"</f>
        <v>29ers percentage of employment</v>
      </c>
      <c r="B16" s="37">
        <f>B10</f>
        <v>8.8918583163805119E-4</v>
      </c>
      <c r="C16" s="55">
        <f>VLOOKUP(ParametersOther!$B$11,'Sectors (1)'!$AA$19:$AD$103,4)-VLOOKUP(ParametersOther!$B$11-0.1,'Sectors (1)'!$AA$19:$AD$103,4)</f>
        <v>0.14021372958262471</v>
      </c>
      <c r="D16" s="55">
        <f>VLOOKUP(ParametersOther!$B$11,'Sectors (2)'!$AA$19:$AD$103,4)-VLOOKUP(ParametersOther!$B$11-0.1,'Sectors (2)'!$AA$19:$AD$103,4)</f>
        <v>8.9109013712113105E-4</v>
      </c>
      <c r="E16" s="55">
        <f>VLOOKUP(ParametersOther!$B$11,'Sectors (3)'!$AA$19:$AD$103,4)-VLOOKUP(ParametersOther!$B$11-0.1,'Sectors (3)'!$AA$19:$AD$103,4)</f>
        <v>7.900980843100866E-2</v>
      </c>
      <c r="F16" s="55">
        <f>VLOOKUP(ParametersOther!$B$11,'Sectors (4)'!$AA$19:$AD$103,4)-VLOOKUP(ParametersOther!$B$11-0.1,'Sectors (4)'!$AA$19:$AD$103,4)</f>
        <v>0.166030860517208</v>
      </c>
      <c r="G16" s="55">
        <f>SUMPRODUCT($B$3:$F$3,$B$13:$F$13,$B$16:$F$16)/SUMPRODUCT($B$3:$F$3,$B13:$F13)</f>
        <v>6.0022975673824461E-2</v>
      </c>
    </row>
    <row r="18" spans="1:8" x14ac:dyDescent="0.25">
      <c r="A18" s="53" t="s">
        <v>105</v>
      </c>
    </row>
    <row r="19" spans="1:8" x14ac:dyDescent="0.25">
      <c r="A19" t="s">
        <v>102</v>
      </c>
      <c r="B19">
        <f t="shared" ref="B19:G21" si="3">LN(B13/B7)</f>
        <v>0</v>
      </c>
      <c r="C19" s="6">
        <f t="shared" si="3"/>
        <v>-3.279917358382841E-2</v>
      </c>
      <c r="D19" s="6">
        <f t="shared" si="3"/>
        <v>-0.16995693526452188</v>
      </c>
      <c r="E19" s="6">
        <f t="shared" si="3"/>
        <v>-0.21936644672449301</v>
      </c>
      <c r="F19" s="6">
        <f t="shared" si="3"/>
        <v>-5.6097742261873508E-2</v>
      </c>
      <c r="G19" s="6">
        <f t="shared" si="3"/>
        <v>-2.594393460437721E-2</v>
      </c>
    </row>
    <row r="20" spans="1:8" x14ac:dyDescent="0.25">
      <c r="A20" t="s">
        <v>103</v>
      </c>
      <c r="B20">
        <f t="shared" si="3"/>
        <v>0</v>
      </c>
      <c r="C20" s="6">
        <f t="shared" si="3"/>
        <v>-3.833688856918549E-2</v>
      </c>
      <c r="D20" s="6">
        <f t="shared" si="3"/>
        <v>-0.16270288065978045</v>
      </c>
      <c r="E20" s="6">
        <f t="shared" si="3"/>
        <v>-0.20842185930473736</v>
      </c>
      <c r="F20" s="6">
        <f t="shared" si="3"/>
        <v>-6.2830129185670311E-2</v>
      </c>
      <c r="G20" s="6">
        <f t="shared" si="3"/>
        <v>-2.7800504296721221E-2</v>
      </c>
    </row>
    <row r="21" spans="1:8" x14ac:dyDescent="0.25">
      <c r="A21" t="s">
        <v>112</v>
      </c>
      <c r="B21">
        <f t="shared" si="3"/>
        <v>-2.2204460492503131E-16</v>
      </c>
      <c r="C21" s="6">
        <f t="shared" si="3"/>
        <v>-5.5377149853569488E-3</v>
      </c>
      <c r="D21" s="6">
        <f t="shared" si="3"/>
        <v>7.2540546047414386E-3</v>
      </c>
      <c r="E21" s="6">
        <f t="shared" si="3"/>
        <v>1.0944587419755871E-2</v>
      </c>
      <c r="F21" s="6">
        <f t="shared" si="3"/>
        <v>-6.7323869237966511E-3</v>
      </c>
      <c r="G21" s="6">
        <f t="shared" si="3"/>
        <v>-1.8565696923439087E-3</v>
      </c>
    </row>
    <row r="22" spans="1:8" x14ac:dyDescent="0.25">
      <c r="C22" s="6"/>
      <c r="D22" s="6"/>
      <c r="E22" s="6"/>
      <c r="F22" s="6"/>
      <c r="G22" s="6"/>
      <c r="H22" s="54"/>
    </row>
    <row r="23" spans="1:8" x14ac:dyDescent="0.25">
      <c r="C23" s="6"/>
      <c r="D23" s="6"/>
      <c r="E23" s="6"/>
      <c r="F23" s="6"/>
      <c r="G23" s="6"/>
      <c r="H23" s="54"/>
    </row>
    <row r="24" spans="1:8" x14ac:dyDescent="0.25">
      <c r="A24" s="52" t="str">
        <f>TEXT(ParametersOther!$B$11,"0")&amp;"ers percentage of employment (pts)"</f>
        <v>29ers percentage of employment (pts)</v>
      </c>
      <c r="B24" s="37">
        <f t="shared" ref="B24:G24" si="4">B16-B10</f>
        <v>0</v>
      </c>
      <c r="C24" s="37">
        <f t="shared" si="4"/>
        <v>0.13932454375098666</v>
      </c>
      <c r="D24" s="37">
        <f t="shared" si="4"/>
        <v>1.9043054830798593E-6</v>
      </c>
      <c r="E24" s="37">
        <f t="shared" si="4"/>
        <v>7.8120622599370609E-2</v>
      </c>
      <c r="F24" s="37">
        <f t="shared" si="4"/>
        <v>0.16514167468556995</v>
      </c>
      <c r="G24" s="37">
        <f t="shared" si="4"/>
        <v>5.913378984218641E-2</v>
      </c>
    </row>
    <row r="25" spans="1:8" x14ac:dyDescent="0.25">
      <c r="A25" s="52"/>
      <c r="C25" s="28"/>
      <c r="D25" s="28"/>
      <c r="E25" s="28"/>
      <c r="F25" s="28"/>
      <c r="G25" s="28"/>
    </row>
    <row r="27" spans="1:8" x14ac:dyDescent="0.25">
      <c r="A27" s="33"/>
    </row>
    <row r="28" spans="1:8" x14ac:dyDescent="0.25">
      <c r="A28" s="33"/>
    </row>
    <row r="30" spans="1:8" x14ac:dyDescent="0.25">
      <c r="A30" s="33"/>
    </row>
    <row r="31" spans="1:8" x14ac:dyDescent="0.25">
      <c r="A31" s="33"/>
    </row>
  </sheetData>
  <pageMargins left="0.75" right="0.75" top="1" bottom="1" header="0.5" footer="0.5"/>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ColWidth="8.875" defaultRowHeight="15.75" x14ac:dyDescent="0.25"/>
  <cols>
    <col min="1" max="1" width="37.625" customWidth="1"/>
    <col min="2" max="2" width="1.875" hidden="1" customWidth="1"/>
    <col min="3" max="3" width="9.625" customWidth="1"/>
    <col min="7" max="8" width="12" customWidth="1"/>
  </cols>
  <sheetData>
    <row r="1" spans="1:8" ht="18.75" x14ac:dyDescent="0.3">
      <c r="A1" s="62" t="s">
        <v>201</v>
      </c>
      <c r="B1" s="56"/>
    </row>
    <row r="3" spans="1:8" ht="15" customHeight="1" x14ac:dyDescent="0.25">
      <c r="C3" s="99" t="s">
        <v>210</v>
      </c>
      <c r="G3" s="95" t="s">
        <v>206</v>
      </c>
      <c r="H3" s="95"/>
    </row>
    <row r="4" spans="1:8" x14ac:dyDescent="0.25">
      <c r="A4" s="1" t="s">
        <v>202</v>
      </c>
      <c r="C4" s="99"/>
      <c r="D4" s="10" t="s">
        <v>204</v>
      </c>
      <c r="E4" s="10" t="s">
        <v>205</v>
      </c>
      <c r="F4" s="10" t="s">
        <v>207</v>
      </c>
      <c r="G4" s="10" t="s">
        <v>208</v>
      </c>
      <c r="H4" s="10" t="s">
        <v>209</v>
      </c>
    </row>
    <row r="5" spans="1:8" x14ac:dyDescent="0.25">
      <c r="A5" t="s">
        <v>128</v>
      </c>
      <c r="B5">
        <v>0</v>
      </c>
      <c r="C5" s="59">
        <f>VLOOKUP($B5,ParametersTax!$B$16:$E$20,4)</f>
        <v>0.56198162362732629</v>
      </c>
      <c r="D5" s="14">
        <f>C5</f>
        <v>0.56198162362732629</v>
      </c>
      <c r="E5" s="14">
        <f>C5</f>
        <v>0.56198162362732629</v>
      </c>
      <c r="F5" s="14">
        <f>ParametersTax!H45</f>
        <v>0.74</v>
      </c>
      <c r="G5" s="14">
        <f>ParametersTax!F45</f>
        <v>0.30929093272603592</v>
      </c>
      <c r="H5" s="14">
        <f>ParametersTax!G45</f>
        <v>0.5697910886799501</v>
      </c>
    </row>
    <row r="6" spans="1:8" ht="3.95" customHeight="1" x14ac:dyDescent="0.25">
      <c r="C6" s="59"/>
    </row>
    <row r="7" spans="1:8" ht="31.5" x14ac:dyDescent="0.25">
      <c r="A7" s="57" t="s">
        <v>129</v>
      </c>
      <c r="B7">
        <v>1</v>
      </c>
      <c r="C7" s="59">
        <f>VLOOKUP($B7,ParametersTax!$B$16:$E$20,4)</f>
        <v>0.22516649581081083</v>
      </c>
      <c r="D7" s="14">
        <f>C7</f>
        <v>0.22516649581081083</v>
      </c>
      <c r="E7" s="14">
        <f>C7</f>
        <v>0.22516649581081083</v>
      </c>
      <c r="F7" s="14">
        <f>ParametersTax!H46</f>
        <v>0.26</v>
      </c>
      <c r="G7" s="14">
        <f>ParametersTax!F46</f>
        <v>0.21133626126126129</v>
      </c>
      <c r="H7" s="14">
        <f>ParametersTax!G46</f>
        <v>0.21133626126126129</v>
      </c>
    </row>
    <row r="8" spans="1:8" ht="3.95" customHeight="1" x14ac:dyDescent="0.25">
      <c r="A8" s="57"/>
      <c r="C8" s="59"/>
    </row>
    <row r="9" spans="1:8" ht="15.75" customHeight="1" x14ac:dyDescent="0.25">
      <c r="A9" t="s">
        <v>164</v>
      </c>
      <c r="C9" s="59"/>
    </row>
    <row r="10" spans="1:8" x14ac:dyDescent="0.25">
      <c r="A10" s="57" t="s">
        <v>165</v>
      </c>
      <c r="B10">
        <v>2</v>
      </c>
      <c r="C10" s="59">
        <f>VLOOKUP($B10,ParametersTax!$B$16:$E$20,4)</f>
        <v>1.7416752094594593E-2</v>
      </c>
      <c r="D10" s="14">
        <f>C10</f>
        <v>1.7416752094594593E-2</v>
      </c>
      <c r="E10" s="14">
        <f>C10</f>
        <v>1.7416752094594593E-2</v>
      </c>
      <c r="F10" s="14">
        <f>ParametersTax!H47</f>
        <v>0</v>
      </c>
      <c r="G10" s="14">
        <f>ParametersTax!F47</f>
        <v>2.4331869369369364E-2</v>
      </c>
      <c r="H10" s="14">
        <f>ParametersTax!G47</f>
        <v>2.4331869369369364E-2</v>
      </c>
    </row>
    <row r="11" spans="1:8" ht="3.95" customHeight="1" x14ac:dyDescent="0.25">
      <c r="A11" s="57"/>
      <c r="C11" s="59"/>
    </row>
    <row r="12" spans="1:8" ht="15.75" customHeight="1" x14ac:dyDescent="0.25">
      <c r="A12" t="s">
        <v>164</v>
      </c>
      <c r="C12" s="59"/>
    </row>
    <row r="13" spans="1:8" x14ac:dyDescent="0.25">
      <c r="A13" s="57" t="s">
        <v>166</v>
      </c>
      <c r="B13">
        <v>3</v>
      </c>
      <c r="C13" s="59">
        <f>VLOOKUP($B13,ParametersTax!$B$16:$E$20,4)</f>
        <v>3.4833504189189186E-2</v>
      </c>
      <c r="D13" s="14">
        <f>C13</f>
        <v>3.4833504189189186E-2</v>
      </c>
      <c r="E13" s="14">
        <f>C13</f>
        <v>3.4833504189189186E-2</v>
      </c>
      <c r="F13" s="14">
        <f>ParametersTax!H48</f>
        <v>0</v>
      </c>
      <c r="G13" s="14">
        <f>ParametersTax!F48</f>
        <v>4.8663738738738728E-2</v>
      </c>
      <c r="H13" s="14">
        <f>ParametersTax!G48</f>
        <v>4.8663738738738728E-2</v>
      </c>
    </row>
    <row r="14" spans="1:8" ht="3.95" customHeight="1" x14ac:dyDescent="0.25">
      <c r="A14" s="57"/>
      <c r="C14" s="59"/>
    </row>
    <row r="15" spans="1:8" ht="31.5" x14ac:dyDescent="0.25">
      <c r="A15" s="66" t="s">
        <v>163</v>
      </c>
      <c r="B15" s="58">
        <v>4</v>
      </c>
      <c r="C15" s="64">
        <f>VLOOKUP($B15,ParametersTax!$B$16:$E$20,4)</f>
        <v>0.16060162427807914</v>
      </c>
      <c r="D15" s="83">
        <f>C15</f>
        <v>0.16060162427807914</v>
      </c>
      <c r="E15" s="83">
        <f>C15</f>
        <v>0.16060162427807914</v>
      </c>
      <c r="F15" s="83">
        <f>ParametersTax!H49</f>
        <v>0</v>
      </c>
      <c r="G15" s="83">
        <f>ParametersTax!F49</f>
        <v>0.4063771979045947</v>
      </c>
      <c r="H15" s="83">
        <f>ParametersTax!G49</f>
        <v>0.14587704195068052</v>
      </c>
    </row>
    <row r="16" spans="1:8" ht="3.95" customHeight="1" x14ac:dyDescent="0.25">
      <c r="A16" s="66"/>
      <c r="B16" s="58"/>
      <c r="C16" s="64"/>
    </row>
    <row r="17" spans="1:8" x14ac:dyDescent="0.25">
      <c r="A17" t="s">
        <v>203</v>
      </c>
      <c r="C17" s="14">
        <f t="shared" ref="C17:H17" si="0">SUM(C5:C15)</f>
        <v>1</v>
      </c>
      <c r="D17" s="14">
        <f t="shared" si="0"/>
        <v>1</v>
      </c>
      <c r="E17" s="14">
        <f t="shared" si="0"/>
        <v>1</v>
      </c>
      <c r="F17" s="14">
        <f t="shared" si="0"/>
        <v>1</v>
      </c>
      <c r="G17" s="14">
        <f t="shared" si="0"/>
        <v>1</v>
      </c>
      <c r="H17" s="14">
        <f t="shared" si="0"/>
        <v>1</v>
      </c>
    </row>
    <row r="19" spans="1:8" ht="15.75" customHeight="1" x14ac:dyDescent="0.25">
      <c r="A19" s="100" t="s">
        <v>212</v>
      </c>
      <c r="B19" s="100"/>
      <c r="C19" s="100"/>
      <c r="D19" s="100"/>
      <c r="E19" s="100"/>
      <c r="F19" s="100"/>
      <c r="G19" s="100"/>
      <c r="H19" s="100"/>
    </row>
    <row r="20" spans="1:8" x14ac:dyDescent="0.25">
      <c r="A20" s="100"/>
      <c r="B20" s="100"/>
      <c r="C20" s="100"/>
      <c r="D20" s="100"/>
      <c r="E20" s="100"/>
      <c r="F20" s="100"/>
      <c r="G20" s="100"/>
      <c r="H20" s="100"/>
    </row>
    <row r="21" spans="1:8" x14ac:dyDescent="0.25">
      <c r="A21" s="100"/>
      <c r="B21" s="100"/>
      <c r="C21" s="100"/>
      <c r="D21" s="100"/>
      <c r="E21" s="100"/>
      <c r="F21" s="100"/>
      <c r="G21" s="100"/>
      <c r="H21" s="100"/>
    </row>
  </sheetData>
  <mergeCells count="3">
    <mergeCell ref="C3:C4"/>
    <mergeCell ref="G3:H3"/>
    <mergeCell ref="A19:H21"/>
  </mergeCells>
  <pageMargins left="0.7" right="0.7" top="0.75" bottom="0.75" header="0.3" footer="0.3"/>
  <pageSetup orientation="landscape"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42"/>
  <sheetViews>
    <sheetView workbookViewId="0"/>
  </sheetViews>
  <sheetFormatPr defaultColWidth="8.875" defaultRowHeight="15.75" x14ac:dyDescent="0.25"/>
  <cols>
    <col min="5" max="7" width="7.625" hidden="1" customWidth="1"/>
    <col min="8" max="8" width="8.625" hidden="1" customWidth="1"/>
    <col min="9" max="10" width="0" hidden="1" customWidth="1"/>
    <col min="11" max="11" width="8.625" hidden="1" customWidth="1"/>
    <col min="12" max="13" width="7.625" hidden="1" customWidth="1"/>
    <col min="14" max="14" width="0" hidden="1" customWidth="1"/>
    <col min="18" max="20" width="6.625" hidden="1" customWidth="1"/>
    <col min="21" max="23" width="0" hidden="1" customWidth="1"/>
    <col min="24" max="24" width="8.625" hidden="1" customWidth="1"/>
    <col min="25" max="26" width="6.625" hidden="1" customWidth="1"/>
    <col min="27" max="27" width="0" hidden="1" customWidth="1"/>
    <col min="31" max="40" width="0" hidden="1" customWidth="1"/>
  </cols>
  <sheetData>
    <row r="1" spans="1:41" x14ac:dyDescent="0.25">
      <c r="A1" s="56" t="s">
        <v>172</v>
      </c>
    </row>
    <row r="3" spans="1:41" x14ac:dyDescent="0.25">
      <c r="A3" s="1" t="s">
        <v>0</v>
      </c>
    </row>
    <row r="4" spans="1:41" x14ac:dyDescent="0.25">
      <c r="A4" t="s">
        <v>2</v>
      </c>
      <c r="C4" s="9">
        <f>ParametersOther!$B$4</f>
        <v>9.4905032911790893E-2</v>
      </c>
    </row>
    <row r="5" spans="1:41" x14ac:dyDescent="0.25">
      <c r="A5" t="s">
        <v>1</v>
      </c>
      <c r="C5" s="9">
        <f>ParametersOther!$B$5</f>
        <v>0.25</v>
      </c>
    </row>
    <row r="6" spans="1:41" x14ac:dyDescent="0.25">
      <c r="A6" t="s">
        <v>3</v>
      </c>
      <c r="B6" s="7"/>
      <c r="C6" s="7">
        <f>ParametersOther!$B$14</f>
        <v>43.288296761716524</v>
      </c>
    </row>
    <row r="7" spans="1:41" x14ac:dyDescent="0.25">
      <c r="A7" t="s">
        <v>9</v>
      </c>
      <c r="C7" s="7">
        <f>ParametersOther!$B$11</f>
        <v>29</v>
      </c>
    </row>
    <row r="8" spans="1:41" x14ac:dyDescent="0.25">
      <c r="A8" t="s">
        <v>68</v>
      </c>
      <c r="C8" s="14">
        <f>ParametersOther!$B$21</f>
        <v>0.25</v>
      </c>
    </row>
    <row r="9" spans="1:41" x14ac:dyDescent="0.25">
      <c r="C9" s="14"/>
    </row>
    <row r="10" spans="1:41" x14ac:dyDescent="0.25">
      <c r="B10" s="7"/>
      <c r="C10" s="79">
        <v>2.4</v>
      </c>
      <c r="D10" s="101" t="str">
        <f>"tau = "&amp;TEXT(D11,"0%")</f>
        <v>tau = 0%</v>
      </c>
      <c r="E10" s="95"/>
      <c r="F10" s="95"/>
      <c r="G10" s="95"/>
      <c r="H10" s="95"/>
      <c r="I10" s="95"/>
      <c r="J10" s="95"/>
      <c r="K10" s="95"/>
      <c r="L10" s="95"/>
      <c r="M10" s="95"/>
      <c r="N10" s="95"/>
      <c r="O10" s="95"/>
      <c r="Q10" s="95" t="str">
        <f>"tau = "&amp;TEXT(Q11,"0%")</f>
        <v>tau = 1%</v>
      </c>
      <c r="R10" s="95"/>
      <c r="S10" s="95"/>
      <c r="T10" s="95"/>
      <c r="U10" s="95"/>
      <c r="V10" s="95"/>
      <c r="W10" s="95"/>
      <c r="X10" s="95"/>
      <c r="Y10" s="95"/>
      <c r="Z10" s="95"/>
      <c r="AA10" s="95"/>
      <c r="AB10" s="95"/>
      <c r="AD10" s="95" t="str">
        <f>"tau = "&amp;TEXT(AD11,"0%")</f>
        <v>tau = 23%</v>
      </c>
      <c r="AE10" s="95"/>
      <c r="AF10" s="95"/>
      <c r="AG10" s="95"/>
      <c r="AH10" s="95"/>
      <c r="AI10" s="95"/>
      <c r="AJ10" s="95"/>
      <c r="AK10" s="95"/>
      <c r="AL10" s="95"/>
      <c r="AM10" s="95"/>
      <c r="AN10" s="95"/>
      <c r="AO10" s="95"/>
    </row>
    <row r="11" spans="1:41" x14ac:dyDescent="0.25">
      <c r="A11" s="95" t="s">
        <v>167</v>
      </c>
      <c r="B11" s="95"/>
      <c r="C11" s="2">
        <v>34</v>
      </c>
      <c r="D11" s="2">
        <v>0</v>
      </c>
      <c r="E11">
        <f>D11</f>
        <v>0</v>
      </c>
      <c r="H11">
        <f>D11</f>
        <v>0</v>
      </c>
      <c r="J11">
        <f>D11</f>
        <v>0</v>
      </c>
      <c r="K11">
        <f>D11</f>
        <v>0</v>
      </c>
      <c r="N11">
        <f>D11</f>
        <v>0</v>
      </c>
      <c r="Q11" s="2">
        <f>ParametersTax!$D$20</f>
        <v>8.0156553713026449E-3</v>
      </c>
      <c r="R11">
        <f>Q11</f>
        <v>8.0156553713026449E-3</v>
      </c>
      <c r="U11">
        <f>Q11</f>
        <v>8.0156553713026449E-3</v>
      </c>
      <c r="W11">
        <f>Q11</f>
        <v>8.0156553713026449E-3</v>
      </c>
      <c r="X11">
        <f>Q11</f>
        <v>8.0156553713026449E-3</v>
      </c>
      <c r="AA11">
        <f>Q11</f>
        <v>8.0156553713026449E-3</v>
      </c>
      <c r="AD11" s="8">
        <f>ParametersTax!$D$18</f>
        <v>0.23419152674892524</v>
      </c>
      <c r="AE11">
        <f>AD11</f>
        <v>0.23419152674892524</v>
      </c>
      <c r="AH11">
        <f>AD11</f>
        <v>0.23419152674892524</v>
      </c>
      <c r="AJ11">
        <f>AD11</f>
        <v>0.23419152674892524</v>
      </c>
      <c r="AK11">
        <f>AD11</f>
        <v>0.23419152674892524</v>
      </c>
      <c r="AN11">
        <f>AD11</f>
        <v>0.23419152674892524</v>
      </c>
    </row>
    <row r="12" spans="1:41" x14ac:dyDescent="0.25">
      <c r="A12" s="60"/>
      <c r="B12" s="60" t="s">
        <v>53</v>
      </c>
      <c r="C12" s="60" t="s">
        <v>33</v>
      </c>
      <c r="D12" s="76" t="s">
        <v>173</v>
      </c>
      <c r="E12" s="60" t="s">
        <v>168</v>
      </c>
      <c r="F12" s="60" t="s">
        <v>170</v>
      </c>
      <c r="G12" s="60" t="s">
        <v>169</v>
      </c>
      <c r="H12" s="60" t="s">
        <v>45</v>
      </c>
      <c r="I12" s="60" t="s">
        <v>171</v>
      </c>
      <c r="J12" s="76" t="s">
        <v>173</v>
      </c>
      <c r="K12" s="60" t="s">
        <v>168</v>
      </c>
      <c r="L12" s="60" t="s">
        <v>170</v>
      </c>
      <c r="M12" s="60" t="s">
        <v>169</v>
      </c>
      <c r="N12" s="60" t="s">
        <v>45</v>
      </c>
      <c r="O12" s="60" t="s">
        <v>171</v>
      </c>
      <c r="Q12" s="76" t="s">
        <v>173</v>
      </c>
      <c r="R12" s="60" t="s">
        <v>168</v>
      </c>
      <c r="S12" s="60" t="s">
        <v>170</v>
      </c>
      <c r="T12" s="60" t="s">
        <v>169</v>
      </c>
      <c r="U12" s="60" t="s">
        <v>45</v>
      </c>
      <c r="V12" s="60" t="s">
        <v>171</v>
      </c>
      <c r="W12" s="76" t="s">
        <v>173</v>
      </c>
      <c r="X12" s="60" t="s">
        <v>168</v>
      </c>
      <c r="Y12" s="60" t="s">
        <v>170</v>
      </c>
      <c r="Z12" s="60" t="s">
        <v>169</v>
      </c>
      <c r="AA12" s="60" t="s">
        <v>45</v>
      </c>
      <c r="AB12" s="60" t="s">
        <v>171</v>
      </c>
      <c r="AD12" s="76" t="s">
        <v>173</v>
      </c>
      <c r="AE12" s="60" t="s">
        <v>168</v>
      </c>
      <c r="AF12" s="60" t="s">
        <v>170</v>
      </c>
      <c r="AG12" s="60" t="s">
        <v>169</v>
      </c>
      <c r="AH12" s="60" t="s">
        <v>45</v>
      </c>
      <c r="AI12" s="60" t="s">
        <v>171</v>
      </c>
      <c r="AJ12" s="76" t="s">
        <v>173</v>
      </c>
      <c r="AK12" s="60" t="s">
        <v>168</v>
      </c>
      <c r="AL12" s="60" t="s">
        <v>170</v>
      </c>
      <c r="AM12" s="60" t="s">
        <v>169</v>
      </c>
      <c r="AN12" s="60" t="s">
        <v>45</v>
      </c>
      <c r="AO12" s="60" t="s">
        <v>171</v>
      </c>
    </row>
    <row r="13" spans="1:41" x14ac:dyDescent="0.25">
      <c r="B13">
        <v>0</v>
      </c>
      <c r="C13" s="7">
        <f>$B13*(C$11-$C$7)/C$10+$C$7</f>
        <v>29</v>
      </c>
      <c r="D13" s="7">
        <f t="shared" ref="D13:D76" si="0">$C$5*((1-$C$8-D$11)*$B13-D$11*$C$4*$C$6)+$C13</f>
        <v>29</v>
      </c>
      <c r="E13">
        <f t="shared" ref="E13:E76" si="1">1+LN(D13/$C$7)-($C13-E$11*$C$4*$C$6*$C$5)/$C$7</f>
        <v>0</v>
      </c>
      <c r="F13">
        <f t="shared" ref="F13:F42" si="2">1/D13-1/$C$7</f>
        <v>0</v>
      </c>
      <c r="G13">
        <f t="shared" ref="G13:G42" si="3">-(D13^(-2))</f>
        <v>-1.1890606420927466E-3</v>
      </c>
      <c r="H13" s="75">
        <f>1+LN(($C$5*((1-$C$8-H$11)*$B13-D$11*$C$4*$C$6)+I13)/$C$7)-(I13-H$11*$C$4*$C$6*$C$5)/$C$7</f>
        <v>0</v>
      </c>
      <c r="I13" s="7">
        <f>$C13-IF(E13=0,0,(F13/G13)*(1-SQRT(1-2*E13*G13/(F13^2))))</f>
        <v>29</v>
      </c>
      <c r="J13" s="7">
        <f>$C$5*((1-$C$8-J$11)*$B13-J$11*$C$4*$C$6)+I13</f>
        <v>29</v>
      </c>
      <c r="K13" s="75">
        <f>H13</f>
        <v>0</v>
      </c>
      <c r="L13">
        <f>1/J13-1/$C$7</f>
        <v>0</v>
      </c>
      <c r="M13">
        <f>-(J13^(-2))</f>
        <v>-1.1890606420927466E-3</v>
      </c>
      <c r="N13" s="75">
        <f>1+LN(($C$5*((1-$C$8-N$11)*$B13-N$11*$C$4*$C$6)+O13)/$C$7)-(O13-N$11*$C$4*$C$6*$C$5)/$C$7</f>
        <v>0</v>
      </c>
      <c r="O13" s="7">
        <f>I13-IF(K13=0,0,(L13/M13)*(1-SQRT(1-2*K13*M13/(L13^2))))</f>
        <v>29</v>
      </c>
      <c r="Q13" s="7">
        <f t="shared" ref="Q13:Q76" si="4">$C$5*((1-$C$8-Q$11)*$B13-Q$11*$C$4*$C$6)+$C13</f>
        <v>28.99176736639091</v>
      </c>
      <c r="R13">
        <f t="shared" ref="R13:R76" si="5">1+LN(Q13/$C$7)-($C13-R$11*$C$4*$C$6*$C$5)/$C$7</f>
        <v>-4.0302666981517632E-8</v>
      </c>
      <c r="S13">
        <f t="shared" ref="S13:S14" si="6">1/Q13-1/$C$7</f>
        <v>9.7918803626945161E-6</v>
      </c>
      <c r="T13">
        <f t="shared" ref="T13:T14" si="7">-(Q13^(-2))</f>
        <v>-1.1897360400676467E-3</v>
      </c>
      <c r="U13" s="75" t="e">
        <f>1+LN(($C$5*((1-$C$8-U$11)*$B13-Q$11*$C$4*$C$6)+V13)/$C$7)-($I13-U$11*$C$4*$C$6*$C$5)/$C$7</f>
        <v>#NUM!</v>
      </c>
      <c r="V13" s="7" t="e">
        <f>$C13-IF(R13=0,0,(S13/T13)*(1-SQRT(1-2*R13*T13/(S13^2))))</f>
        <v>#NUM!</v>
      </c>
      <c r="W13" s="7" t="e">
        <f>$C$5*((1-$C$8-W$11)*$B13-W$11*$C$4*$C$6)+V13</f>
        <v>#NUM!</v>
      </c>
      <c r="X13" s="75" t="e">
        <f>U13</f>
        <v>#NUM!</v>
      </c>
      <c r="Y13" t="e">
        <f>1/W13-1/$C$7</f>
        <v>#NUM!</v>
      </c>
      <c r="Z13" t="e">
        <f>-(W13^(-2))</f>
        <v>#NUM!</v>
      </c>
      <c r="AA13" s="75" t="e">
        <f>1+LN(($C$5*((1-$C$8-AA$11)*$B13-AA$11*$C$4*$C$6)+AB13)/$C$7)-(AB13-AA$11*$C$4*$C$6*$C$5)/$C$7</f>
        <v>#NUM!</v>
      </c>
      <c r="AB13" s="7" t="e">
        <f>V13-IF(X13=0,0,(Y13/Z13)*(1-SQRT(1-2*X13*Z13/(Y13^2))))</f>
        <v>#NUM!</v>
      </c>
      <c r="AD13" s="7">
        <f t="shared" ref="AD13:AD76" si="8">$C$5*((1-$C$8-AD$11)*$B13-AD$11*$C$4*$C$6)+$C13</f>
        <v>28.759469070866004</v>
      </c>
      <c r="AE13">
        <f t="shared" ref="AE13:AE76" si="9">1+LN(AD13/$C$7)-($C13-AE$11*$C$4*$C$6*$C$5)/$C$7</f>
        <v>-3.4588013097858195E-5</v>
      </c>
      <c r="AF13">
        <f t="shared" ref="AF13:AF14" si="10">1/AD13-1/$C$7</f>
        <v>2.8839788209233941E-4</v>
      </c>
      <c r="AG13">
        <f t="shared" ref="AG13:AG14" si="11">-(AD13^(-2))</f>
        <v>-1.2090333245409583E-3</v>
      </c>
      <c r="AH13" s="75" t="e">
        <f>1+LN(($C$5*((1-$C$8-AH$11)*$B13-AD$11*$C$4*$C$6)+AI13)/$C$7)-($I13-AH$11*$C$4*$C$6*$C$5)/$C$7</f>
        <v>#NUM!</v>
      </c>
      <c r="AI13" s="7" t="e">
        <f>$C13-IF(AE13=0,0,(AF13/AG13)*(1-SQRT(1-2*AE13*AG13/(AF13^2))))</f>
        <v>#NUM!</v>
      </c>
      <c r="AJ13" s="7" t="e">
        <f>$C$5*((1-$C$8-AJ$11)*$B13-AJ$11*$C$4*$C$6)+AI13</f>
        <v>#NUM!</v>
      </c>
      <c r="AK13" s="75" t="e">
        <f>AH13</f>
        <v>#NUM!</v>
      </c>
      <c r="AL13" t="e">
        <f>1/AJ13-1/$C$7</f>
        <v>#NUM!</v>
      </c>
      <c r="AM13" t="e">
        <f>-(AJ13^(-2))</f>
        <v>#NUM!</v>
      </c>
      <c r="AN13" s="75" t="e">
        <f>1+LN(($C$5*((1-$C$8-AN$11)*$B13-AN$11*$C$4*$C$6)+AO13)/$C$7)-(AO13-AN$11*$C$4*$C$6*$C$5)/$C$7</f>
        <v>#NUM!</v>
      </c>
      <c r="AO13" s="7" t="e">
        <f>AI13-IF(AK13=0,0,(AL13/AM13)*(1-SQRT(1-2*AK13*AM13/(AL13^2))))</f>
        <v>#NUM!</v>
      </c>
    </row>
    <row r="14" spans="1:41" x14ac:dyDescent="0.25">
      <c r="B14">
        <v>0.08</v>
      </c>
      <c r="C14" s="7">
        <f t="shared" ref="C14:C77" si="12">$B14*(C$11-$C$7)/C$10+$C$7</f>
        <v>29.166666666666668</v>
      </c>
      <c r="D14" s="7">
        <f t="shared" si="0"/>
        <v>29.181666666666668</v>
      </c>
      <c r="E14">
        <f t="shared" si="1"/>
        <v>4.9770178691477263E-4</v>
      </c>
      <c r="F14">
        <f t="shared" si="2"/>
        <v>-2.1466792447628197E-4</v>
      </c>
      <c r="G14">
        <f t="shared" si="3"/>
        <v>-1.1743020399639056E-3</v>
      </c>
      <c r="H14" s="75">
        <f>1+LN(($C$5*((1-$C$8-H$11)*$B14-D$11*$C$4*$C$6)+I14)/$C$7)-(I14-H$11*$C$4*$C$6*$C$5)/$C$7</f>
        <v>5.6821211211754985E-6</v>
      </c>
      <c r="I14" s="7">
        <f t="shared" ref="I14:I77" si="13">$C14-IF(E14=0,0,(F14/G14)*(1-SQRT(1-2*E14*G14/(F14^2))))</f>
        <v>29.922516887560526</v>
      </c>
      <c r="J14" s="7">
        <f t="shared" ref="J14:J77" si="14">$C$5*((1-$C$8-J$11)*$B14-J$11*$C$4*$C$6)+I14</f>
        <v>29.937516887560527</v>
      </c>
      <c r="K14" s="75">
        <f t="shared" ref="K14:K77" si="15">H14</f>
        <v>5.6821211211754985E-6</v>
      </c>
      <c r="L14">
        <f t="shared" ref="L14:L77" si="16">1/J14-1/$C$7</f>
        <v>-1.079854707322192E-3</v>
      </c>
      <c r="M14">
        <f t="shared" ref="M14:M77" si="17">-(J14^(-2))</f>
        <v>-1.1157539898456594E-3</v>
      </c>
      <c r="N14" s="75">
        <f t="shared" ref="N14:N77" si="18">1+LN(($C$5*((1-$C$8-N$11)*$B14-N$11*$C$4*$C$6)+O14)/$C$7)-(O14-N$11*$C$4*$C$6*$C$5)/$C$7</f>
        <v>1.7950085862139531E-12</v>
      </c>
      <c r="O14" s="7">
        <f t="shared" ref="O14:O77" si="19">I14-IF(K14=0,0,(L14/M14)*(1-SQRT(1-2*K14*M14/(L14^2))))</f>
        <v>29.927764591759317</v>
      </c>
      <c r="Q14" s="7">
        <f t="shared" si="4"/>
        <v>29.173273719950153</v>
      </c>
      <c r="R14">
        <f t="shared" si="5"/>
        <v>4.9393407741682438E-4</v>
      </c>
      <c r="S14">
        <f t="shared" si="6"/>
        <v>-2.04809234565409E-4</v>
      </c>
      <c r="T14">
        <f t="shared" si="7"/>
        <v>-1.1749778141176958E-3</v>
      </c>
      <c r="U14" s="75">
        <f>1+LN(($C$5*((1-$C$8-U$11)*$B14-Q$11*$C$4*$C$6)+V14)/$C$7)-(V14-U$11*$C$4*$C$6*$C$5)/$C$7</f>
        <v>5.758812534617519E-6</v>
      </c>
      <c r="V14" s="7">
        <f t="shared" ref="V14" si="20">$C14-IF(R14=0,0,(S14/T14)*(1-SQRT(1-2*R14*T14/(S14^2))))</f>
        <v>29.925705577616824</v>
      </c>
      <c r="W14" s="7">
        <f t="shared" ref="W14:W77" si="21">$C$5*((1-$C$8-W$11)*$B14-W$11*$C$4*$C$6)+V14</f>
        <v>29.932312630900309</v>
      </c>
      <c r="X14" s="75">
        <f t="shared" ref="X14" si="22">U14</f>
        <v>5.758812534617519E-6</v>
      </c>
      <c r="Y14">
        <f t="shared" ref="Y14" si="23">1/W14-1/$C$7</f>
        <v>-1.074047027598099E-3</v>
      </c>
      <c r="Z14">
        <f t="shared" ref="Z14" si="24">-(W14^(-2))</f>
        <v>-1.1161420103103703E-3</v>
      </c>
      <c r="AA14" s="75">
        <f t="shared" ref="AA14:AA77" si="25">1+LN(($C$5*((1-$C$8-AA$11)*$B14-AA$11*$C$4*$C$6)+AB14)/$C$7)-(AB14-AA$11*$C$4*$C$6*$C$5)/$C$7</f>
        <v>1.8995915951336428E-12</v>
      </c>
      <c r="AB14" s="7">
        <f t="shared" ref="AB14" si="26">V14-IF(X14=0,0,(Y14/Z14)*(1-SQRT(1-2*X14*Z14/(Y14^2))))</f>
        <v>29.9310525105805</v>
      </c>
      <c r="AD14" s="7">
        <f t="shared" si="8"/>
        <v>28.936451906997693</v>
      </c>
      <c r="AE14">
        <f t="shared" si="9"/>
        <v>3.5332554077993628E-4</v>
      </c>
      <c r="AF14">
        <f t="shared" si="10"/>
        <v>7.5728481116019153E-5</v>
      </c>
      <c r="AG14">
        <f t="shared" si="11"/>
        <v>-1.1942890307656692E-3</v>
      </c>
      <c r="AH14" s="75">
        <f>1+LN(($C$5*((1-$C$8-AH$11)*$B14-AD$11*$C$4*$C$6)+AI14)/$C$7)-(AI14-AH$11*$C$4*$C$6*$C$5)/$C$7</f>
        <v>-4.9827048598238832E-6</v>
      </c>
      <c r="AI14" s="7">
        <f t="shared" ref="AI14" si="27">$C14-IF(AE14=0,0,(AF14/AG14)*(1-SQRT(1-2*AE14*AG14/(AF14^2))))</f>
        <v>28.458251350295363</v>
      </c>
      <c r="AJ14" s="7">
        <f t="shared" ref="AJ14:AJ77" si="28">$C$5*((1-$C$8-AJ$11)*$B14-AJ$11*$C$4*$C$6)+AI14</f>
        <v>28.228036590626388</v>
      </c>
      <c r="AK14" s="75">
        <f t="shared" ref="AK14" si="29">AH14</f>
        <v>-4.9827048598238832E-6</v>
      </c>
      <c r="AL14">
        <f t="shared" ref="AL14" si="30">1/AJ14-1/$C$7</f>
        <v>9.4301379495428245E-4</v>
      </c>
      <c r="AM14">
        <f t="shared" ref="AM14" si="31">-(AJ14^(-2))</f>
        <v>-1.2549853512449987E-3</v>
      </c>
      <c r="AN14" s="75">
        <f t="shared" ref="AN14:AN77" si="32">1+LN(($C$5*((1-$C$8-AN$11)*$B14-AN$11*$C$4*$C$6)+AO14)/$C$7)-(AO14-AN$11*$C$4*$C$6*$C$5)/$C$7</f>
        <v>2.2091217743991365E-12</v>
      </c>
      <c r="AO14" s="7">
        <f t="shared" ref="AO14" si="33">AI14-IF(AK14=0,0,(AL14/AM14)*(1-SQRT(1-2*AK14*AM14/(AL14^2))))</f>
        <v>28.46355386857234</v>
      </c>
    </row>
    <row r="15" spans="1:41" x14ac:dyDescent="0.25">
      <c r="B15">
        <v>0.16</v>
      </c>
      <c r="C15" s="7">
        <f t="shared" si="12"/>
        <v>29.333333333333332</v>
      </c>
      <c r="D15" s="7">
        <f t="shared" si="0"/>
        <v>29.363333333333333</v>
      </c>
      <c r="E15">
        <f t="shared" si="1"/>
        <v>9.5664759355762463E-4</v>
      </c>
      <c r="F15">
        <f t="shared" si="2"/>
        <v>-4.2667961058635157E-4</v>
      </c>
      <c r="G15">
        <f t="shared" si="3"/>
        <v>-1.1598165175423988E-3</v>
      </c>
      <c r="H15" s="75">
        <f t="shared" ref="H15:H78" si="34">1+LN(($C$5*((1-$C$8-H$11)*$B15-D$11*$C$4*$C$6)+I15)/$C$7)-(I15-H$11*$C$4*$C$6*$C$5)/$C$7</f>
        <v>1.1660036608240887E-5</v>
      </c>
      <c r="I15" s="7">
        <f t="shared" si="13"/>
        <v>30.30148420706421</v>
      </c>
      <c r="J15" s="7">
        <f t="shared" si="14"/>
        <v>30.331484207064211</v>
      </c>
      <c r="K15" s="75">
        <f t="shared" si="15"/>
        <v>1.1660036608240887E-5</v>
      </c>
      <c r="L15">
        <f t="shared" si="16"/>
        <v>-1.5137158539957757E-3</v>
      </c>
      <c r="M15">
        <f t="shared" si="17"/>
        <v>-1.08695778095209E-3</v>
      </c>
      <c r="N15" s="75">
        <f t="shared" si="18"/>
        <v>5.4134474680722633E-12</v>
      </c>
      <c r="O15" s="7">
        <f t="shared" si="19"/>
        <v>30.309165943626631</v>
      </c>
      <c r="Q15" s="7">
        <f t="shared" si="4"/>
        <v>29.354780073509389</v>
      </c>
      <c r="R15">
        <f t="shared" si="5"/>
        <v>9.4919858543818236E-4</v>
      </c>
      <c r="S15">
        <f t="shared" ref="S15:S78" si="35">1/Q15-1/$C$7</f>
        <v>-4.1675650805828718E-4</v>
      </c>
      <c r="T15">
        <f t="shared" ref="T15:T78" si="36">-(Q15^(-2))</f>
        <v>-1.1604924999378046E-3</v>
      </c>
      <c r="U15" s="75">
        <f t="shared" ref="U15:U78" si="37">1+LN(($C$5*((1-$C$8-U$11)*$B15-Q$11*$C$4*$C$6)+V15)/$C$7)-(V15-U$11*$C$4*$C$6*$C$5)/$C$7</f>
        <v>1.1713064153484609E-5</v>
      </c>
      <c r="V15" s="7">
        <f t="shared" ref="V15:V78" si="38">$C15-IF(R15=0,0,(S15/T15)*(1-SQRT(1-2*R15*T15/(S15^2))))</f>
        <v>30.30267906079451</v>
      </c>
      <c r="W15" s="7">
        <f t="shared" si="21"/>
        <v>30.324125800970567</v>
      </c>
      <c r="X15" s="75">
        <f t="shared" ref="X15:X78" si="39">U15</f>
        <v>1.1713064153484609E-5</v>
      </c>
      <c r="Y15">
        <f t="shared" ref="Y15:Y78" si="40">1/W15-1/$C$7</f>
        <v>-1.5057156363872462E-3</v>
      </c>
      <c r="Z15">
        <f t="shared" ref="Z15:Z78" si="41">-(W15^(-2))</f>
        <v>-1.0874853639885286E-3</v>
      </c>
      <c r="AA15" s="75">
        <f t="shared" si="25"/>
        <v>5.5793147879512617E-12</v>
      </c>
      <c r="AB15" s="7">
        <f t="shared" ref="AB15:AB78" si="42">V15-IF(X15=0,0,(Y15/Z15)*(1-SQRT(1-2*X15*Z15/(Y15^2))))</f>
        <v>30.31043639787735</v>
      </c>
      <c r="AD15" s="7">
        <f t="shared" si="8"/>
        <v>29.113434743129378</v>
      </c>
      <c r="AE15">
        <f t="shared" si="9"/>
        <v>7.0382977005256642E-4</v>
      </c>
      <c r="AF15">
        <f t="shared" ref="AF15:AF78" si="43">1/AD15-1/$C$7</f>
        <v>-1.3435525217282696E-4</v>
      </c>
      <c r="AG15">
        <f t="shared" ref="AG15:AG78" si="44">-(AD15^(-2))</f>
        <v>-1.1798128139663383E-3</v>
      </c>
      <c r="AH15" s="75">
        <f t="shared" ref="AH15:AH78" si="45">1+LN(($C$5*((1-$C$8-AH$11)*$B15-AD$11*$C$4*$C$6)+AI15)/$C$7)-(AI15-AH$11*$C$4*$C$6*$C$5)/$C$7</f>
        <v>1.2565492149230195E-5</v>
      </c>
      <c r="AI15" s="7">
        <f t="shared" ref="AI15:AI78" si="46">$C15-IF(AE15=0,0,(AF15/AG15)*(1-SQRT(1-2*AE15*AG15/(AF15^2))))</f>
        <v>30.317675893167213</v>
      </c>
      <c r="AJ15" s="7">
        <f t="shared" si="28"/>
        <v>30.097777302963259</v>
      </c>
      <c r="AK15" s="75">
        <f t="shared" ref="AK15:AK78" si="47">AH15</f>
        <v>1.2565492149230195E-5</v>
      </c>
      <c r="AL15">
        <f t="shared" ref="AL15:AL78" si="48">1/AJ15-1/$C$7</f>
        <v>-1.2577137964811386E-3</v>
      </c>
      <c r="AM15">
        <f t="shared" ref="AM15:AM78" si="49">-(AJ15^(-2))</f>
        <v>-1.1039036035706651E-3</v>
      </c>
      <c r="AN15" s="75">
        <f t="shared" si="32"/>
        <v>1.2030598739443121E-11</v>
      </c>
      <c r="AO15" s="7">
        <f t="shared" ref="AO15:AO78" si="50">AI15-IF(AK15=0,0,(AL15/AM15)*(1-SQRT(1-2*AK15*AM15/(AL15^2))))</f>
        <v>30.327623209519125</v>
      </c>
    </row>
    <row r="16" spans="1:41" x14ac:dyDescent="0.25">
      <c r="B16">
        <v>0.24</v>
      </c>
      <c r="C16" s="7">
        <f t="shared" si="12"/>
        <v>29.5</v>
      </c>
      <c r="D16" s="7">
        <f t="shared" si="0"/>
        <v>29.545000000000002</v>
      </c>
      <c r="E16">
        <f t="shared" si="1"/>
        <v>1.3773155008192095E-3</v>
      </c>
      <c r="F16">
        <f t="shared" si="2"/>
        <v>-6.3608405646559119E-4</v>
      </c>
      <c r="G16">
        <f t="shared" si="3"/>
        <v>-1.1455973790564921E-3</v>
      </c>
      <c r="H16" s="75">
        <f t="shared" si="34"/>
        <v>1.6369447179753749E-5</v>
      </c>
      <c r="I16" s="7">
        <f t="shared" si="13"/>
        <v>30.591825061199696</v>
      </c>
      <c r="J16" s="7">
        <f t="shared" si="14"/>
        <v>30.636825061199698</v>
      </c>
      <c r="K16" s="75">
        <f t="shared" si="15"/>
        <v>1.6369447179753749E-5</v>
      </c>
      <c r="L16">
        <f t="shared" si="16"/>
        <v>-1.8423006749849757E-3</v>
      </c>
      <c r="M16">
        <f t="shared" si="17"/>
        <v>-1.0653994949053158E-3</v>
      </c>
      <c r="N16" s="75">
        <f t="shared" si="18"/>
        <v>8.0675466307411625E-12</v>
      </c>
      <c r="O16" s="7">
        <f t="shared" si="19"/>
        <v>30.600687678456083</v>
      </c>
      <c r="Q16" s="7">
        <f t="shared" si="4"/>
        <v>29.536286427068632</v>
      </c>
      <c r="R16">
        <f t="shared" si="5"/>
        <v>1.3662304520056789E-3</v>
      </c>
      <c r="S16">
        <f t="shared" si="35"/>
        <v>-6.260988652660171E-4</v>
      </c>
      <c r="T16">
        <f t="shared" si="36"/>
        <v>-1.1462734097945227E-3</v>
      </c>
      <c r="U16" s="75">
        <f t="shared" si="37"/>
        <v>1.6369889951128869E-5</v>
      </c>
      <c r="V16" s="7">
        <f t="shared" si="38"/>
        <v>30.591512984268725</v>
      </c>
      <c r="W16" s="7">
        <f t="shared" si="21"/>
        <v>30.627799411337357</v>
      </c>
      <c r="X16" s="75">
        <f t="shared" si="39"/>
        <v>1.6369889951128869E-5</v>
      </c>
      <c r="Y16">
        <f t="shared" si="40"/>
        <v>-1.8326819184818419E-3</v>
      </c>
      <c r="Z16">
        <f t="shared" si="41"/>
        <v>-1.0660275086600535E-3</v>
      </c>
      <c r="AA16" s="75">
        <f t="shared" si="25"/>
        <v>8.2023277059306565E-12</v>
      </c>
      <c r="AB16" s="7">
        <f t="shared" si="42"/>
        <v>30.60042210439163</v>
      </c>
      <c r="AD16" s="7">
        <f t="shared" si="8"/>
        <v>29.290417579261067</v>
      </c>
      <c r="AE16">
        <f t="shared" si="9"/>
        <v>1.0173781290225836E-3</v>
      </c>
      <c r="AF16">
        <f t="shared" si="43"/>
        <v>-3.4190018827027352E-4</v>
      </c>
      <c r="AG16">
        <f t="shared" si="44"/>
        <v>-1.1655982145025014E-3</v>
      </c>
      <c r="AH16" s="75">
        <f t="shared" si="45"/>
        <v>1.5385462889039303E-5</v>
      </c>
      <c r="AI16" s="7">
        <f t="shared" si="46"/>
        <v>30.560082950230548</v>
      </c>
      <c r="AJ16" s="7">
        <f t="shared" si="28"/>
        <v>30.350500529491615</v>
      </c>
      <c r="AK16" s="75">
        <f t="shared" si="47"/>
        <v>1.5385462889039303E-5</v>
      </c>
      <c r="AL16">
        <f t="shared" si="48"/>
        <v>-1.53437284272534E-3</v>
      </c>
      <c r="AM16">
        <f t="shared" si="49"/>
        <v>-1.0855961253735612E-3</v>
      </c>
      <c r="AN16" s="75">
        <f t="shared" si="32"/>
        <v>1.1891154727550202E-11</v>
      </c>
      <c r="AO16" s="7">
        <f t="shared" si="50"/>
        <v>30.570074831445663</v>
      </c>
    </row>
    <row r="17" spans="2:41" x14ac:dyDescent="0.25">
      <c r="B17">
        <v>0.32</v>
      </c>
      <c r="C17" s="7">
        <f t="shared" si="12"/>
        <v>29.666666666666668</v>
      </c>
      <c r="D17" s="7">
        <f t="shared" si="0"/>
        <v>29.726666666666667</v>
      </c>
      <c r="E17">
        <f t="shared" si="1"/>
        <v>1.7601747976205839E-3</v>
      </c>
      <c r="F17">
        <f t="shared" si="2"/>
        <v>-8.4292906249274629E-4</v>
      </c>
      <c r="G17">
        <f t="shared" si="3"/>
        <v>-1.131638132704538E-3</v>
      </c>
      <c r="H17" s="75">
        <f t="shared" si="34"/>
        <v>1.972790033111238E-5</v>
      </c>
      <c r="I17" s="7">
        <f t="shared" si="13"/>
        <v>30.8363888705519</v>
      </c>
      <c r="J17" s="7">
        <f t="shared" si="14"/>
        <v>30.896388870551899</v>
      </c>
      <c r="K17" s="75">
        <f t="shared" si="15"/>
        <v>1.972790033111238E-5</v>
      </c>
      <c r="L17">
        <f t="shared" si="16"/>
        <v>-2.1165165918963016E-3</v>
      </c>
      <c r="M17">
        <f t="shared" si="17"/>
        <v>-1.0475736230664292E-3</v>
      </c>
      <c r="N17" s="75">
        <f t="shared" si="18"/>
        <v>9.0871754565569063E-12</v>
      </c>
      <c r="O17" s="7">
        <f t="shared" si="19"/>
        <v>30.84568839728173</v>
      </c>
      <c r="Q17" s="7">
        <f t="shared" si="4"/>
        <v>29.717792780627875</v>
      </c>
      <c r="R17">
        <f t="shared" si="5"/>
        <v>1.7454981365370159E-3</v>
      </c>
      <c r="S17">
        <f t="shared" si="35"/>
        <v>-8.3288403606472661E-4</v>
      </c>
      <c r="T17">
        <f t="shared" si="36"/>
        <v>-1.1323140595609865E-3</v>
      </c>
      <c r="U17" s="75">
        <f t="shared" si="37"/>
        <v>1.9666682416819015E-5</v>
      </c>
      <c r="V17" s="7">
        <f t="shared" si="38"/>
        <v>30.834817245555467</v>
      </c>
      <c r="W17" s="7">
        <f t="shared" si="21"/>
        <v>30.885943359516673</v>
      </c>
      <c r="X17" s="75">
        <f t="shared" si="39"/>
        <v>1.9666682416819015E-5</v>
      </c>
      <c r="Y17">
        <f t="shared" si="40"/>
        <v>-2.1055704493632699E-3</v>
      </c>
      <c r="Z17">
        <f t="shared" si="41"/>
        <v>-1.0482823138814774E-3</v>
      </c>
      <c r="AA17" s="75">
        <f t="shared" si="25"/>
        <v>9.1531227042196406E-12</v>
      </c>
      <c r="AB17" s="7">
        <f t="shared" si="42"/>
        <v>30.844135939699012</v>
      </c>
      <c r="AD17" s="7">
        <f t="shared" si="8"/>
        <v>29.467400415392756</v>
      </c>
      <c r="AE17">
        <f t="shared" si="9"/>
        <v>1.2944158768686265E-3</v>
      </c>
      <c r="AF17">
        <f t="shared" si="43"/>
        <v>-5.469520716452278E-4</v>
      </c>
      <c r="AG17">
        <f t="shared" si="44"/>
        <v>-1.1516389661341668E-3</v>
      </c>
      <c r="AH17" s="75">
        <f t="shared" si="45"/>
        <v>1.676817046081247E-5</v>
      </c>
      <c r="AI17" s="7">
        <f t="shared" si="46"/>
        <v>30.764474670879046</v>
      </c>
      <c r="AJ17" s="7">
        <f t="shared" si="28"/>
        <v>30.565208419605135</v>
      </c>
      <c r="AK17" s="75">
        <f t="shared" si="47"/>
        <v>1.676817046081247E-5</v>
      </c>
      <c r="AL17">
        <f t="shared" si="48"/>
        <v>-1.7658215636342858E-3</v>
      </c>
      <c r="AM17">
        <f t="shared" si="49"/>
        <v>-1.0703979703953227E-3</v>
      </c>
      <c r="AN17" s="75">
        <f t="shared" si="32"/>
        <v>9.907852316359822E-12</v>
      </c>
      <c r="AO17" s="7">
        <f t="shared" si="50"/>
        <v>30.773943456394253</v>
      </c>
    </row>
    <row r="18" spans="2:41" x14ac:dyDescent="0.25">
      <c r="B18">
        <v>0.4</v>
      </c>
      <c r="C18" s="7">
        <f t="shared" si="12"/>
        <v>29.833333333333332</v>
      </c>
      <c r="D18" s="7">
        <f t="shared" si="0"/>
        <v>29.908333333333331</v>
      </c>
      <c r="E18">
        <f t="shared" si="1"/>
        <v>2.1056861951791461E-3</v>
      </c>
      <c r="F18">
        <f t="shared" si="2"/>
        <v>-1.0472612676665286E-3</v>
      </c>
      <c r="G18">
        <f t="shared" si="3"/>
        <v>-1.1179324832440167E-3</v>
      </c>
      <c r="H18" s="75">
        <f t="shared" si="34"/>
        <v>2.1867095137739767E-5</v>
      </c>
      <c r="I18" s="7">
        <f t="shared" si="13"/>
        <v>31.051699500658497</v>
      </c>
      <c r="J18" s="7">
        <f t="shared" si="14"/>
        <v>31.126699500658496</v>
      </c>
      <c r="K18" s="75">
        <f t="shared" si="15"/>
        <v>2.1867095137739767E-5</v>
      </c>
      <c r="L18">
        <f t="shared" si="16"/>
        <v>-2.3559987636465191E-3</v>
      </c>
      <c r="M18">
        <f t="shared" si="17"/>
        <v>-1.0321286989121183E-3</v>
      </c>
      <c r="N18" s="75">
        <f t="shared" si="18"/>
        <v>8.7820861693899133E-12</v>
      </c>
      <c r="O18" s="7">
        <f t="shared" si="19"/>
        <v>31.060962161894405</v>
      </c>
      <c r="Q18" s="7">
        <f t="shared" si="4"/>
        <v>29.89929913418711</v>
      </c>
      <c r="R18">
        <f t="shared" si="5"/>
        <v>2.087461540894564E-3</v>
      </c>
      <c r="S18">
        <f t="shared" si="35"/>
        <v>-1.0371585913367398E-3</v>
      </c>
      <c r="T18">
        <f t="shared" si="36"/>
        <v>-1.1186081613234517E-3</v>
      </c>
      <c r="U18" s="75">
        <f t="shared" si="37"/>
        <v>2.1744264145917569E-5</v>
      </c>
      <c r="V18" s="7">
        <f t="shared" si="38"/>
        <v>31.049023957053009</v>
      </c>
      <c r="W18" s="7">
        <f t="shared" si="21"/>
        <v>31.114989757906788</v>
      </c>
      <c r="X18" s="75">
        <f t="shared" si="39"/>
        <v>2.1744264145917569E-5</v>
      </c>
      <c r="Y18">
        <f t="shared" si="40"/>
        <v>-2.3439082536929889E-3</v>
      </c>
      <c r="Z18">
        <f t="shared" si="41"/>
        <v>-1.0329057029122015E-3</v>
      </c>
      <c r="AA18" s="75">
        <f t="shared" si="25"/>
        <v>8.7783114111061877E-12</v>
      </c>
      <c r="AB18" s="7">
        <f t="shared" si="42"/>
        <v>31.05828199787274</v>
      </c>
      <c r="AD18" s="7">
        <f t="shared" si="8"/>
        <v>29.644383251524442</v>
      </c>
      <c r="AE18">
        <f t="shared" si="9"/>
        <v>1.5353802739386246E-3</v>
      </c>
      <c r="AF18">
        <f t="shared" si="43"/>
        <v>-7.4955555435243792E-4</v>
      </c>
      <c r="AG18">
        <f t="shared" si="44"/>
        <v>-1.1379289891147427E-3</v>
      </c>
      <c r="AH18" s="75">
        <f t="shared" si="45"/>
        <v>1.7075457508175518E-5</v>
      </c>
      <c r="AI18" s="7">
        <f t="shared" si="46"/>
        <v>30.944501778026062</v>
      </c>
      <c r="AJ18" s="7">
        <f t="shared" si="28"/>
        <v>30.755551696217172</v>
      </c>
      <c r="AK18" s="75">
        <f t="shared" si="47"/>
        <v>1.7075457508175518E-5</v>
      </c>
      <c r="AL18">
        <f t="shared" si="48"/>
        <v>-1.9683036735850465E-3</v>
      </c>
      <c r="AM18">
        <f t="shared" si="49"/>
        <v>-1.0571897805072956E-3</v>
      </c>
      <c r="AN18" s="75">
        <f t="shared" si="32"/>
        <v>7.4273920347422973E-12</v>
      </c>
      <c r="AO18" s="7">
        <f t="shared" si="50"/>
        <v>30.953156875467254</v>
      </c>
    </row>
    <row r="19" spans="2:41" x14ac:dyDescent="0.25">
      <c r="B19">
        <v>0.48</v>
      </c>
      <c r="C19" s="7">
        <f t="shared" si="12"/>
        <v>30</v>
      </c>
      <c r="D19" s="7">
        <f t="shared" si="0"/>
        <v>30.09</v>
      </c>
      <c r="E19">
        <f t="shared" si="1"/>
        <v>2.4143020347902056E-3</v>
      </c>
      <c r="F19">
        <f t="shared" si="2"/>
        <v>-1.2491261846643981E-3</v>
      </c>
      <c r="G19">
        <f t="shared" si="3"/>
        <v>-1.1044743248928301E-3</v>
      </c>
      <c r="H19" s="75">
        <f t="shared" si="34"/>
        <v>2.2967863849254755E-5</v>
      </c>
      <c r="I19" s="7">
        <f t="shared" si="13"/>
        <v>31.246203312054202</v>
      </c>
      <c r="J19" s="7">
        <f t="shared" si="14"/>
        <v>31.336203312054202</v>
      </c>
      <c r="K19" s="75">
        <f t="shared" si="15"/>
        <v>2.2967863849254755E-5</v>
      </c>
      <c r="L19">
        <f t="shared" si="16"/>
        <v>-2.570787982711098E-3</v>
      </c>
      <c r="M19">
        <f t="shared" si="17"/>
        <v>-1.0183738699992054E-3</v>
      </c>
      <c r="N19" s="75">
        <f t="shared" si="18"/>
        <v>7.6825212858011582E-12</v>
      </c>
      <c r="O19" s="7">
        <f t="shared" si="19"/>
        <v>31.255121730917875</v>
      </c>
      <c r="Q19" s="7">
        <f t="shared" si="4"/>
        <v>30.080805487746353</v>
      </c>
      <c r="R19">
        <f t="shared" si="5"/>
        <v>2.3925722165580865E-3</v>
      </c>
      <c r="S19">
        <f t="shared" si="35"/>
        <v>-1.2389679779371623E-3</v>
      </c>
      <c r="T19">
        <f t="shared" si="36"/>
        <v>-1.1051496162991581E-3</v>
      </c>
      <c r="U19" s="75">
        <f t="shared" si="37"/>
        <v>2.2788211049729057E-5</v>
      </c>
      <c r="V19" s="7">
        <f t="shared" si="38"/>
        <v>31.242532946831258</v>
      </c>
      <c r="W19" s="7">
        <f t="shared" si="21"/>
        <v>31.323338434577611</v>
      </c>
      <c r="X19" s="75">
        <f t="shared" si="39"/>
        <v>2.2788211049729057E-5</v>
      </c>
      <c r="Y19">
        <f t="shared" si="40"/>
        <v>-2.5576813468028078E-3</v>
      </c>
      <c r="Z19">
        <f t="shared" si="41"/>
        <v>-1.0192105589436464E-3</v>
      </c>
      <c r="AA19" s="75">
        <f t="shared" si="25"/>
        <v>7.6290085360142257E-12</v>
      </c>
      <c r="AB19" s="7">
        <f t="shared" si="42"/>
        <v>31.251426900751351</v>
      </c>
      <c r="AD19" s="7">
        <f t="shared" si="8"/>
        <v>29.821366087656131</v>
      </c>
      <c r="AE19">
        <f t="shared" si="9"/>
        <v>1.740700772204784E-3</v>
      </c>
      <c r="AF19">
        <f t="shared" si="43"/>
        <v>-9.4975422844864599E-4</v>
      </c>
      <c r="AG19">
        <f t="shared" si="44"/>
        <v>-1.1244623835700545E-3</v>
      </c>
      <c r="AH19" s="75">
        <f t="shared" si="45"/>
        <v>1.6596393625389894E-5</v>
      </c>
      <c r="AI19" s="7">
        <f t="shared" si="46"/>
        <v>31.107153643682324</v>
      </c>
      <c r="AJ19" s="7">
        <f t="shared" si="28"/>
        <v>30.928519731338454</v>
      </c>
      <c r="AK19" s="75">
        <f t="shared" si="47"/>
        <v>1.6596393625389894E-5</v>
      </c>
      <c r="AL19">
        <f t="shared" si="48"/>
        <v>-2.1501410661952589E-3</v>
      </c>
      <c r="AM19">
        <f t="shared" si="49"/>
        <v>-1.0453981579251991E-3</v>
      </c>
      <c r="AN19" s="75">
        <f t="shared" si="32"/>
        <v>5.1514348342607263E-12</v>
      </c>
      <c r="AO19" s="7">
        <f t="shared" si="50"/>
        <v>31.114857960528767</v>
      </c>
    </row>
    <row r="20" spans="2:41" x14ac:dyDescent="0.25">
      <c r="B20">
        <v>0.56000000000000005</v>
      </c>
      <c r="C20" s="7">
        <f t="shared" si="12"/>
        <v>30.166666666666668</v>
      </c>
      <c r="D20" s="7">
        <f t="shared" si="0"/>
        <v>30.271666666666668</v>
      </c>
      <c r="E20">
        <f t="shared" si="1"/>
        <v>2.6864664893515577E-3</v>
      </c>
      <c r="F20">
        <f t="shared" si="2"/>
        <v>-1.4485682336390568E-3</v>
      </c>
      <c r="G20">
        <f t="shared" si="3"/>
        <v>-1.0912577345279059E-3</v>
      </c>
      <c r="H20" s="75">
        <f t="shared" si="34"/>
        <v>2.3214228560997086E-5</v>
      </c>
      <c r="I20" s="7">
        <f t="shared" si="13"/>
        <v>31.424905918305925</v>
      </c>
      <c r="J20" s="7">
        <f t="shared" si="14"/>
        <v>31.529905918305925</v>
      </c>
      <c r="K20" s="75">
        <f t="shared" si="15"/>
        <v>2.3214228560997086E-5</v>
      </c>
      <c r="L20">
        <f t="shared" si="16"/>
        <v>-2.7668377869579305E-3</v>
      </c>
      <c r="M20">
        <f t="shared" si="17"/>
        <v>-1.0058996343315378E-3</v>
      </c>
      <c r="N20" s="75">
        <f t="shared" si="18"/>
        <v>6.2509997178494814E-12</v>
      </c>
      <c r="O20" s="7">
        <f t="shared" si="19"/>
        <v>31.433283327043302</v>
      </c>
      <c r="Q20" s="7">
        <f t="shared" si="4"/>
        <v>30.262311841305596</v>
      </c>
      <c r="R20">
        <f t="shared" si="5"/>
        <v>2.6612735655648923E-3</v>
      </c>
      <c r="S20">
        <f t="shared" si="35"/>
        <v>-1.4383565524021535E-3</v>
      </c>
      <c r="T20">
        <f t="shared" si="36"/>
        <v>-1.0919325080506433E-3</v>
      </c>
      <c r="U20" s="75">
        <f t="shared" si="37"/>
        <v>2.2985071175707361E-5</v>
      </c>
      <c r="V20" s="7">
        <f t="shared" si="38"/>
        <v>31.420322503683028</v>
      </c>
      <c r="W20" s="7">
        <f t="shared" si="21"/>
        <v>31.515967678321957</v>
      </c>
      <c r="X20" s="75">
        <f t="shared" si="39"/>
        <v>2.2985071175707361E-5</v>
      </c>
      <c r="Y20">
        <f t="shared" si="40"/>
        <v>-2.7528111157668345E-3</v>
      </c>
      <c r="Z20">
        <f t="shared" si="41"/>
        <v>-1.0067895686651578E-3</v>
      </c>
      <c r="AA20" s="75">
        <f t="shared" si="25"/>
        <v>6.1690652586321448E-12</v>
      </c>
      <c r="AB20" s="7">
        <f t="shared" si="42"/>
        <v>31.42865946607721</v>
      </c>
      <c r="AD20" s="7">
        <f t="shared" si="8"/>
        <v>29.99834892378782</v>
      </c>
      <c r="AE20">
        <f t="shared" si="9"/>
        <v>1.910799200079083E-3</v>
      </c>
      <c r="AF20">
        <f t="shared" si="43"/>
        <v>-1.1475906572612077E-3</v>
      </c>
      <c r="AG20">
        <f t="shared" si="44"/>
        <v>-1.1112334231499865E-3</v>
      </c>
      <c r="AH20" s="75">
        <f t="shared" si="45"/>
        <v>1.556352668541372E-5</v>
      </c>
      <c r="AI20" s="7">
        <f t="shared" si="46"/>
        <v>31.256580676990144</v>
      </c>
      <c r="AJ20" s="7">
        <f t="shared" si="28"/>
        <v>31.088262934111295</v>
      </c>
      <c r="AK20" s="75">
        <f t="shared" si="47"/>
        <v>1.556352668541372E-5</v>
      </c>
      <c r="AL20">
        <f t="shared" si="48"/>
        <v>-2.3162782316306779E-3</v>
      </c>
      <c r="AM20">
        <f t="shared" si="49"/>
        <v>-1.0346824606197156E-3</v>
      </c>
      <c r="AN20" s="75">
        <f t="shared" si="32"/>
        <v>3.3497649098990223E-12</v>
      </c>
      <c r="AO20" s="7">
        <f t="shared" si="50"/>
        <v>31.263289819098219</v>
      </c>
    </row>
    <row r="21" spans="2:41" x14ac:dyDescent="0.25">
      <c r="B21">
        <v>0.64</v>
      </c>
      <c r="C21" s="7">
        <f t="shared" si="12"/>
        <v>30.333333333333332</v>
      </c>
      <c r="D21" s="7">
        <f t="shared" si="0"/>
        <v>30.453333333333333</v>
      </c>
      <c r="E21">
        <f t="shared" si="1"/>
        <v>2.9226157588635449E-3</v>
      </c>
      <c r="F21">
        <f t="shared" si="2"/>
        <v>-1.6456307748052429E-3</v>
      </c>
      <c r="G21">
        <f t="shared" si="3"/>
        <v>-1.0782769651669576E-3</v>
      </c>
      <c r="H21" s="75">
        <f t="shared" si="34"/>
        <v>2.277797717820107E-5</v>
      </c>
      <c r="I21" s="7">
        <f t="shared" si="13"/>
        <v>31.591063872729904</v>
      </c>
      <c r="J21" s="7">
        <f t="shared" si="14"/>
        <v>31.711063872729905</v>
      </c>
      <c r="K21" s="75">
        <f t="shared" si="15"/>
        <v>2.277797717820107E-5</v>
      </c>
      <c r="L21">
        <f t="shared" si="16"/>
        <v>-2.9480234880738324E-3</v>
      </c>
      <c r="M21">
        <f t="shared" si="17"/>
        <v>-9.9443951988423436E-4</v>
      </c>
      <c r="N21" s="75">
        <f t="shared" si="18"/>
        <v>4.801714581503802E-12</v>
      </c>
      <c r="O21" s="7">
        <f t="shared" si="19"/>
        <v>31.598780354897901</v>
      </c>
      <c r="Q21" s="7">
        <f t="shared" si="4"/>
        <v>30.443818194864832</v>
      </c>
      <c r="R21">
        <f t="shared" si="5"/>
        <v>2.8940010354421286E-3</v>
      </c>
      <c r="S21">
        <f t="shared" si="35"/>
        <v>-1.6353676134513787E-3</v>
      </c>
      <c r="T21">
        <f t="shared" si="36"/>
        <v>-1.0789510959823977E-3</v>
      </c>
      <c r="U21" s="75">
        <f t="shared" si="37"/>
        <v>2.2507896288992413E-5</v>
      </c>
      <c r="V21" s="7">
        <f t="shared" si="38"/>
        <v>31.585631589224469</v>
      </c>
      <c r="W21" s="7">
        <f t="shared" si="21"/>
        <v>31.696116450755969</v>
      </c>
      <c r="X21" s="75">
        <f t="shared" si="39"/>
        <v>2.2507896288992413E-5</v>
      </c>
      <c r="Y21">
        <f t="shared" si="40"/>
        <v>-2.93315217115412E-3</v>
      </c>
      <c r="Z21">
        <f t="shared" si="41"/>
        <v>-9.9537766712057447E-4</v>
      </c>
      <c r="AA21" s="75">
        <f t="shared" si="25"/>
        <v>4.7106762934845392E-12</v>
      </c>
      <c r="AB21" s="7">
        <f t="shared" si="42"/>
        <v>31.593295244197712</v>
      </c>
      <c r="AD21" s="7">
        <f t="shared" si="8"/>
        <v>30.175331759919505</v>
      </c>
      <c r="AE21">
        <f t="shared" si="9"/>
        <v>2.0460899417964473E-3</v>
      </c>
      <c r="AF21">
        <f t="shared" si="43"/>
        <v>-1.3431064055563074E-3</v>
      </c>
      <c r="AG21">
        <f t="shared" si="44"/>
        <v>-1.0982365489399925E-3</v>
      </c>
      <c r="AH21" s="75">
        <f t="shared" si="45"/>
        <v>1.4164137944971955E-5</v>
      </c>
      <c r="AI21" s="7">
        <f t="shared" si="46"/>
        <v>31.395489214962573</v>
      </c>
      <c r="AJ21" s="7">
        <f t="shared" si="28"/>
        <v>31.237487641548746</v>
      </c>
      <c r="AK21" s="75">
        <f t="shared" si="47"/>
        <v>1.4164137944971955E-5</v>
      </c>
      <c r="AL21">
        <f t="shared" si="48"/>
        <v>-2.4699408334516171E-3</v>
      </c>
      <c r="AM21">
        <f t="shared" si="49"/>
        <v>-1.024820502678904E-3</v>
      </c>
      <c r="AN21" s="75">
        <f t="shared" si="32"/>
        <v>2.0545787293713147E-12</v>
      </c>
      <c r="AO21" s="7">
        <f t="shared" si="50"/>
        <v>31.40121701489835</v>
      </c>
    </row>
    <row r="22" spans="2:41" x14ac:dyDescent="0.25">
      <c r="B22">
        <v>0.72</v>
      </c>
      <c r="C22" s="7">
        <f t="shared" si="12"/>
        <v>30.5</v>
      </c>
      <c r="D22" s="7">
        <f t="shared" si="0"/>
        <v>30.635000000000002</v>
      </c>
      <c r="E22">
        <f t="shared" si="1"/>
        <v>3.1231782601093272E-3</v>
      </c>
      <c r="F22">
        <f t="shared" si="2"/>
        <v>-1.8403561398670706E-3</v>
      </c>
      <c r="G22">
        <f t="shared" si="3"/>
        <v>-1.0655264397200126E-3</v>
      </c>
      <c r="H22" s="75">
        <f t="shared" si="34"/>
        <v>2.1813504156531494E-5</v>
      </c>
      <c r="I22" s="7">
        <f t="shared" si="13"/>
        <v>31.746937694568668</v>
      </c>
      <c r="J22" s="7">
        <f t="shared" si="14"/>
        <v>31.88193769456867</v>
      </c>
      <c r="K22" s="75">
        <f t="shared" si="15"/>
        <v>2.1813504156531494E-5</v>
      </c>
      <c r="L22">
        <f t="shared" si="16"/>
        <v>-3.1170364497201813E-3</v>
      </c>
      <c r="M22">
        <f t="shared" si="17"/>
        <v>-9.838085273064462E-4</v>
      </c>
      <c r="N22" s="75">
        <f t="shared" si="18"/>
        <v>3.5129676945189203E-12</v>
      </c>
      <c r="O22" s="7">
        <f t="shared" si="19"/>
        <v>31.753928137884873</v>
      </c>
      <c r="Q22" s="7">
        <f t="shared" si="4"/>
        <v>30.625324548424075</v>
      </c>
      <c r="R22">
        <f t="shared" si="5"/>
        <v>3.09118230834593E-3</v>
      </c>
      <c r="S22">
        <f t="shared" si="35"/>
        <v>-1.8300434333347396E-3</v>
      </c>
      <c r="T22">
        <f t="shared" si="36"/>
        <v>-1.0661998091065182E-3</v>
      </c>
      <c r="U22" s="75">
        <f t="shared" si="37"/>
        <v>2.1511572532828538E-5</v>
      </c>
      <c r="V22" s="7">
        <f t="shared" si="38"/>
        <v>31.740708653895666</v>
      </c>
      <c r="W22" s="7">
        <f t="shared" si="21"/>
        <v>31.866033202319741</v>
      </c>
      <c r="X22" s="75">
        <f t="shared" si="39"/>
        <v>2.1511572532828538E-5</v>
      </c>
      <c r="Y22">
        <f t="shared" si="40"/>
        <v>-3.1013816651417822E-3</v>
      </c>
      <c r="Z22">
        <f t="shared" si="41"/>
        <v>-9.8479081962619085E-4</v>
      </c>
      <c r="AA22" s="75">
        <f t="shared" si="25"/>
        <v>3.425482120178458E-12</v>
      </c>
      <c r="AB22" s="7">
        <f t="shared" si="42"/>
        <v>31.747637157969198</v>
      </c>
      <c r="AD22" s="7">
        <f t="shared" si="8"/>
        <v>30.352314596051198</v>
      </c>
      <c r="AE22">
        <f t="shared" si="9"/>
        <v>2.1469801115512333E-3</v>
      </c>
      <c r="AF22">
        <f t="shared" si="43"/>
        <v>-1.5363420686518442E-3</v>
      </c>
      <c r="AG22">
        <f t="shared" si="44"/>
        <v>-1.085466363620391E-3</v>
      </c>
      <c r="AH22" s="75">
        <f t="shared" si="45"/>
        <v>1.2548478784069061E-5</v>
      </c>
      <c r="AI22" s="7">
        <f t="shared" si="46"/>
        <v>31.525762615429944</v>
      </c>
      <c r="AJ22" s="7">
        <f t="shared" si="28"/>
        <v>31.378077211481141</v>
      </c>
      <c r="AK22" s="75">
        <f t="shared" si="47"/>
        <v>1.2548478784069061E-5</v>
      </c>
      <c r="AL22">
        <f t="shared" si="48"/>
        <v>-2.6133743604551535E-3</v>
      </c>
      <c r="AM22">
        <f t="shared" si="49"/>
        <v>-1.0156576531264827E-3</v>
      </c>
      <c r="AN22" s="75">
        <f t="shared" si="32"/>
        <v>1.191269305422793E-12</v>
      </c>
      <c r="AO22" s="7">
        <f t="shared" si="50"/>
        <v>31.530559782038278</v>
      </c>
    </row>
    <row r="23" spans="2:41" x14ac:dyDescent="0.25">
      <c r="B23">
        <v>0.8</v>
      </c>
      <c r="C23" s="7">
        <f t="shared" si="12"/>
        <v>30.666666666666668</v>
      </c>
      <c r="D23" s="7">
        <f t="shared" si="0"/>
        <v>30.816666666666666</v>
      </c>
      <c r="E23">
        <f t="shared" si="1"/>
        <v>3.2885748107338575E-3</v>
      </c>
      <c r="F23">
        <f t="shared" si="2"/>
        <v>-2.0327856623337873E-3</v>
      </c>
      <c r="G23">
        <f t="shared" si="3"/>
        <v>-1.0530007449980271E-3</v>
      </c>
      <c r="H23" s="75">
        <f t="shared" si="34"/>
        <v>2.045661428673462E-5</v>
      </c>
      <c r="I23" s="7">
        <f t="shared" si="13"/>
        <v>31.894173488007226</v>
      </c>
      <c r="J23" s="7">
        <f t="shared" si="14"/>
        <v>32.044173488007225</v>
      </c>
      <c r="K23" s="75">
        <f t="shared" si="15"/>
        <v>2.045661428673462E-5</v>
      </c>
      <c r="L23">
        <f t="shared" si="16"/>
        <v>-3.2758373258009732E-3</v>
      </c>
      <c r="M23">
        <f t="shared" si="17"/>
        <v>-9.7387193670537664E-4</v>
      </c>
      <c r="N23" s="75">
        <f t="shared" si="18"/>
        <v>2.4595880887545718E-12</v>
      </c>
      <c r="O23" s="7">
        <f t="shared" si="19"/>
        <v>31.900412400000505</v>
      </c>
      <c r="Q23" s="7">
        <f t="shared" si="4"/>
        <v>30.806830901983318</v>
      </c>
      <c r="R23">
        <f t="shared" si="5"/>
        <v>3.2532374846092615E-3</v>
      </c>
      <c r="S23">
        <f t="shared" si="35"/>
        <v>-2.0224252880708532E-3</v>
      </c>
      <c r="T23">
        <f t="shared" si="36"/>
        <v>-1.0536732400647231E-3</v>
      </c>
      <c r="U23" s="75">
        <f t="shared" si="37"/>
        <v>2.0131901351971848E-5</v>
      </c>
      <c r="V23" s="7">
        <f t="shared" si="38"/>
        <v>31.887191126146476</v>
      </c>
      <c r="W23" s="7">
        <f t="shared" si="21"/>
        <v>32.027355361463123</v>
      </c>
      <c r="X23" s="75">
        <f t="shared" si="39"/>
        <v>2.0131901351971848E-5</v>
      </c>
      <c r="Y23">
        <f t="shared" si="40"/>
        <v>-3.2594500235880418E-3</v>
      </c>
      <c r="Z23">
        <f t="shared" si="41"/>
        <v>-9.7489499974983958E-4</v>
      </c>
      <c r="AA23" s="75">
        <f t="shared" si="25"/>
        <v>2.3838708784751361E-12</v>
      </c>
      <c r="AB23" s="7">
        <f t="shared" si="42"/>
        <v>31.893361903406657</v>
      </c>
      <c r="AD23" s="7">
        <f t="shared" si="8"/>
        <v>30.529297432182886</v>
      </c>
      <c r="AE23">
        <f t="shared" si="9"/>
        <v>2.2138697225713155E-3</v>
      </c>
      <c r="AF23">
        <f t="shared" si="43"/>
        <v>-1.7273373005175091E-3</v>
      </c>
      <c r="AG23">
        <f t="shared" si="44"/>
        <v>-1.0729176258619879E-3</v>
      </c>
      <c r="AH23" s="75">
        <f t="shared" si="45"/>
        <v>1.0836032575234356E-5</v>
      </c>
      <c r="AI23" s="7">
        <f t="shared" si="46"/>
        <v>31.64877611830963</v>
      </c>
      <c r="AJ23" s="7">
        <f t="shared" si="28"/>
        <v>31.511406883825849</v>
      </c>
      <c r="AK23" s="75">
        <f t="shared" si="47"/>
        <v>1.0836032575234356E-5</v>
      </c>
      <c r="AL23">
        <f t="shared" si="48"/>
        <v>-2.7482186908562092E-3</v>
      </c>
      <c r="AM23">
        <f t="shared" si="49"/>
        <v>-1.0070810245581935E-3</v>
      </c>
      <c r="AN23" s="75">
        <f t="shared" si="32"/>
        <v>6.5170091545496689E-13</v>
      </c>
      <c r="AO23" s="7">
        <f t="shared" si="50"/>
        <v>31.652716203395343</v>
      </c>
    </row>
    <row r="24" spans="2:41" x14ac:dyDescent="0.25">
      <c r="B24">
        <v>0.88</v>
      </c>
      <c r="C24" s="7">
        <f t="shared" si="12"/>
        <v>30.833333333333332</v>
      </c>
      <c r="D24" s="7">
        <f t="shared" si="0"/>
        <v>30.998333333333331</v>
      </c>
      <c r="E24">
        <f t="shared" si="1"/>
        <v>3.4192188079087416E-3</v>
      </c>
      <c r="F24">
        <f t="shared" si="2"/>
        <v>-2.2229597067695492E-3</v>
      </c>
      <c r="G24">
        <f t="shared" si="3"/>
        <v>-1.0406946259665607E-3</v>
      </c>
      <c r="H24" s="75">
        <f t="shared" si="34"/>
        <v>1.882495821337038E-5</v>
      </c>
      <c r="I24" s="7">
        <f t="shared" si="13"/>
        <v>32.034015052285739</v>
      </c>
      <c r="J24" s="7">
        <f t="shared" si="14"/>
        <v>32.199015052285738</v>
      </c>
      <c r="K24" s="75">
        <f t="shared" si="15"/>
        <v>1.882495821337038E-5</v>
      </c>
      <c r="L24">
        <f t="shared" si="16"/>
        <v>-3.4259080190122554E-3</v>
      </c>
      <c r="M24">
        <f t="shared" si="17"/>
        <v>-9.6452796929490982E-4</v>
      </c>
      <c r="N24" s="75">
        <f t="shared" si="18"/>
        <v>1.652677994457008E-12</v>
      </c>
      <c r="O24" s="7">
        <f t="shared" si="19"/>
        <v>32.039505689876663</v>
      </c>
      <c r="Q24" s="7">
        <f t="shared" si="4"/>
        <v>30.988337255542554</v>
      </c>
      <c r="R24">
        <f t="shared" si="5"/>
        <v>3.3805792609036267E-3</v>
      </c>
      <c r="S24">
        <f t="shared" si="35"/>
        <v>-2.2125534866229424E-3</v>
      </c>
      <c r="T24">
        <f t="shared" si="36"/>
        <v>-1.0413661393947455E-3</v>
      </c>
      <c r="U24" s="75">
        <f t="shared" si="37"/>
        <v>1.8486203249512556E-5</v>
      </c>
      <c r="V24" s="7">
        <f t="shared" si="38"/>
        <v>32.026316340946956</v>
      </c>
      <c r="W24" s="7">
        <f t="shared" si="21"/>
        <v>32.181320263156181</v>
      </c>
      <c r="X24" s="75">
        <f t="shared" si="39"/>
        <v>1.8486203249512556E-5</v>
      </c>
      <c r="Y24">
        <f t="shared" si="40"/>
        <v>-3.4088315156888642E-3</v>
      </c>
      <c r="Z24">
        <f t="shared" si="41"/>
        <v>-9.6558894572690279E-4</v>
      </c>
      <c r="AA24" s="75">
        <f t="shared" si="25"/>
        <v>1.5911716388927744E-12</v>
      </c>
      <c r="AB24" s="7">
        <f t="shared" si="42"/>
        <v>32.031735214334056</v>
      </c>
      <c r="AD24" s="7">
        <f t="shared" si="8"/>
        <v>30.706280268314572</v>
      </c>
      <c r="AE24">
        <f t="shared" si="9"/>
        <v>2.2471518513074162E-3</v>
      </c>
      <c r="AF24">
        <f t="shared" si="43"/>
        <v>-1.9161308409032657E-3</v>
      </c>
      <c r="AG24">
        <f t="shared" si="44"/>
        <v>-1.0605852449471545E-3</v>
      </c>
      <c r="AH24" s="75">
        <f t="shared" si="45"/>
        <v>9.1204195407090793E-6</v>
      </c>
      <c r="AI24" s="7">
        <f t="shared" si="46"/>
        <v>31.765571913304047</v>
      </c>
      <c r="AJ24" s="7">
        <f t="shared" si="28"/>
        <v>31.638518848285287</v>
      </c>
      <c r="AK24" s="75">
        <f t="shared" si="47"/>
        <v>9.1204195407090793E-6</v>
      </c>
      <c r="AL24">
        <f t="shared" si="48"/>
        <v>-2.8757164328030022E-3</v>
      </c>
      <c r="AM24">
        <f t="shared" si="49"/>
        <v>-9.9900511586684636E-4</v>
      </c>
      <c r="AN24" s="75">
        <f t="shared" si="32"/>
        <v>3.3506530883187224E-13</v>
      </c>
      <c r="AO24" s="7">
        <f t="shared" si="50"/>
        <v>31.768741697594518</v>
      </c>
    </row>
    <row r="25" spans="2:41" x14ac:dyDescent="0.25">
      <c r="B25">
        <v>0.96</v>
      </c>
      <c r="C25" s="7">
        <f t="shared" si="12"/>
        <v>31</v>
      </c>
      <c r="D25" s="7">
        <f t="shared" si="0"/>
        <v>31.18</v>
      </c>
      <c r="E25">
        <f t="shared" si="1"/>
        <v>3.5155164017770524E-3</v>
      </c>
      <c r="F25">
        <f t="shared" si="2"/>
        <v>-2.4109176970206342E-3</v>
      </c>
      <c r="G25">
        <f t="shared" si="3"/>
        <v>-1.0286029802331308E-3</v>
      </c>
      <c r="H25" s="75">
        <f t="shared" si="34"/>
        <v>1.7019138051077576E-5</v>
      </c>
      <c r="I25" s="7">
        <f t="shared" si="13"/>
        <v>32.167430264225857</v>
      </c>
      <c r="J25" s="7">
        <f t="shared" si="14"/>
        <v>32.347430264225856</v>
      </c>
      <c r="K25" s="75">
        <f t="shared" si="15"/>
        <v>1.7019138051077576E-5</v>
      </c>
      <c r="L25">
        <f t="shared" si="16"/>
        <v>-3.5684018439185901E-3</v>
      </c>
      <c r="M25">
        <f t="shared" si="17"/>
        <v>-9.5569745492149092E-4</v>
      </c>
      <c r="N25" s="75">
        <f t="shared" si="18"/>
        <v>1.0664802374549254E-12</v>
      </c>
      <c r="O25" s="7">
        <f t="shared" si="19"/>
        <v>32.172196622653274</v>
      </c>
      <c r="Q25" s="7">
        <f t="shared" si="4"/>
        <v>31.169843609101797</v>
      </c>
      <c r="R25">
        <f t="shared" si="5"/>
        <v>3.4736131031936068E-3</v>
      </c>
      <c r="S25">
        <f t="shared" si="35"/>
        <v>-2.4004673990553754E-3</v>
      </c>
      <c r="T25">
        <f t="shared" si="36"/>
        <v>-1.0292734100297522E-3</v>
      </c>
      <c r="U25" s="75">
        <f t="shared" si="37"/>
        <v>1.6674531124305503E-5</v>
      </c>
      <c r="V25" s="7">
        <f t="shared" si="38"/>
        <v>32.159047219628953</v>
      </c>
      <c r="W25" s="7">
        <f t="shared" si="21"/>
        <v>32.328890828730749</v>
      </c>
      <c r="X25" s="75">
        <f t="shared" si="39"/>
        <v>1.6674531124305503E-5</v>
      </c>
      <c r="Y25">
        <f t="shared" si="40"/>
        <v>-3.5506735919234346E-3</v>
      </c>
      <c r="Z25">
        <f t="shared" si="41"/>
        <v>-9.5679388422682354E-4</v>
      </c>
      <c r="AA25" s="75">
        <f t="shared" si="25"/>
        <v>1.0194067812108187E-12</v>
      </c>
      <c r="AB25" s="7">
        <f t="shared" si="42"/>
        <v>32.163740411919392</v>
      </c>
      <c r="AD25" s="7">
        <f t="shared" si="8"/>
        <v>30.883263104446261</v>
      </c>
      <c r="AE25">
        <f t="shared" si="9"/>
        <v>2.247212796900655E-3</v>
      </c>
      <c r="AF25">
        <f t="shared" si="43"/>
        <v>-2.1027605415349301E-3</v>
      </c>
      <c r="AG25">
        <f t="shared" si="44"/>
        <v>-1.0484642756060638E-3</v>
      </c>
      <c r="AH25" s="75">
        <f t="shared" si="45"/>
        <v>7.4733326083098461E-6</v>
      </c>
      <c r="AI25" s="7">
        <f t="shared" si="46"/>
        <v>31.876963491392193</v>
      </c>
      <c r="AJ25" s="7">
        <f t="shared" si="28"/>
        <v>31.760226595838454</v>
      </c>
      <c r="AK25" s="75">
        <f t="shared" si="47"/>
        <v>7.4733326083098461E-6</v>
      </c>
      <c r="AL25">
        <f t="shared" si="48"/>
        <v>-2.9968371653613032E-3</v>
      </c>
      <c r="AM25">
        <f t="shared" si="49"/>
        <v>-9.9136324989110595E-4</v>
      </c>
      <c r="AN25" s="75">
        <f t="shared" si="32"/>
        <v>1.6076029396572267E-13</v>
      </c>
      <c r="AO25" s="7">
        <f t="shared" si="50"/>
        <v>31.879456203615685</v>
      </c>
    </row>
    <row r="26" spans="2:41" x14ac:dyDescent="0.25">
      <c r="B26">
        <v>1.04</v>
      </c>
      <c r="C26" s="7">
        <f t="shared" si="12"/>
        <v>31.166666666666668</v>
      </c>
      <c r="D26" s="7">
        <f t="shared" si="0"/>
        <v>31.361666666666668</v>
      </c>
      <c r="E26">
        <f t="shared" si="1"/>
        <v>3.5778666638632828E-3</v>
      </c>
      <c r="F26">
        <f t="shared" si="2"/>
        <v>-2.596698143461619E-3</v>
      </c>
      <c r="G26">
        <f t="shared" si="3"/>
        <v>-1.0167208527574439E-3</v>
      </c>
      <c r="H26" s="75">
        <f t="shared" si="34"/>
        <v>1.5124058233784154E-5</v>
      </c>
      <c r="I26" s="7">
        <f t="shared" si="13"/>
        <v>32.295190592053778</v>
      </c>
      <c r="J26" s="7">
        <f t="shared" si="14"/>
        <v>32.490190592053779</v>
      </c>
      <c r="K26" s="75">
        <f t="shared" si="15"/>
        <v>1.5124058233784154E-5</v>
      </c>
      <c r="L26">
        <f t="shared" si="16"/>
        <v>-3.7042380340922658E-3</v>
      </c>
      <c r="M26">
        <f t="shared" si="17"/>
        <v>-9.473173294995993E-4</v>
      </c>
      <c r="N26" s="75">
        <f t="shared" si="18"/>
        <v>6.6036065504704311E-13</v>
      </c>
      <c r="O26" s="7">
        <f t="shared" si="19"/>
        <v>32.299271369363019</v>
      </c>
      <c r="Q26" s="7">
        <f t="shared" si="4"/>
        <v>31.35134996266104</v>
      </c>
      <c r="R26">
        <f t="shared" si="5"/>
        <v>3.5327374146725266E-3</v>
      </c>
      <c r="S26">
        <f t="shared" si="35"/>
        <v>-2.5862054837120091E-3</v>
      </c>
      <c r="T26">
        <f t="shared" si="36"/>
        <v>-1.0173901020200384E-3</v>
      </c>
      <c r="U26" s="75">
        <f t="shared" si="37"/>
        <v>1.4781093023996661E-5</v>
      </c>
      <c r="V26" s="7">
        <f t="shared" si="38"/>
        <v>32.286151342504446</v>
      </c>
      <c r="W26" s="7">
        <f t="shared" si="21"/>
        <v>32.470834638498815</v>
      </c>
      <c r="X26" s="75">
        <f t="shared" si="39"/>
        <v>1.4781093023996661E-5</v>
      </c>
      <c r="Y26">
        <f t="shared" si="40"/>
        <v>-3.6858908735835465E-3</v>
      </c>
      <c r="Z26">
        <f t="shared" si="41"/>
        <v>-9.4844706303274444E-4</v>
      </c>
      <c r="AA26" s="75">
        <f t="shared" si="25"/>
        <v>6.2660987509843835E-13</v>
      </c>
      <c r="AB26" s="7">
        <f t="shared" si="42"/>
        <v>32.290159457539922</v>
      </c>
      <c r="AD26" s="7">
        <f t="shared" si="8"/>
        <v>31.06024594057795</v>
      </c>
      <c r="AE26">
        <f t="shared" si="9"/>
        <v>2.2144322360970747E-3</v>
      </c>
      <c r="AF26">
        <f t="shared" si="43"/>
        <v>-2.2872633914141904E-3</v>
      </c>
      <c r="AG26">
        <f t="shared" si="44"/>
        <v>-1.0365499130582992E-3</v>
      </c>
      <c r="AH26" s="75">
        <f t="shared" si="45"/>
        <v>5.9477586507039604E-6</v>
      </c>
      <c r="AI26" s="7">
        <f t="shared" si="46"/>
        <v>31.983601324862704</v>
      </c>
      <c r="AJ26" s="7">
        <f t="shared" si="28"/>
        <v>31.877180598773986</v>
      </c>
      <c r="AK26" s="75">
        <f t="shared" si="47"/>
        <v>5.9477586507039604E-6</v>
      </c>
      <c r="AL26">
        <f t="shared" si="48"/>
        <v>-3.1123556798956856E-3</v>
      </c>
      <c r="AM26">
        <f t="shared" si="49"/>
        <v>-9.8410218066777517E-4</v>
      </c>
      <c r="AN26" s="75">
        <f t="shared" si="32"/>
        <v>7.1720407390785113E-14</v>
      </c>
      <c r="AO26" s="7">
        <f t="shared" si="50"/>
        <v>31.985511762931857</v>
      </c>
    </row>
    <row r="27" spans="2:41" x14ac:dyDescent="0.25">
      <c r="B27">
        <v>1.1200000000000001</v>
      </c>
      <c r="C27" s="7">
        <f t="shared" si="12"/>
        <v>31.333333333333332</v>
      </c>
      <c r="D27" s="7">
        <f t="shared" si="0"/>
        <v>31.543333333333333</v>
      </c>
      <c r="E27">
        <f t="shared" si="1"/>
        <v>3.6066617506149701E-3</v>
      </c>
      <c r="F27">
        <f t="shared" si="2"/>
        <v>-2.7803386693000323E-3</v>
      </c>
      <c r="G27">
        <f t="shared" si="3"/>
        <v>-1.0050434307742669E-3</v>
      </c>
      <c r="H27" s="75">
        <f t="shared" si="34"/>
        <v>1.3210326773593906E-5</v>
      </c>
      <c r="I27" s="7">
        <f t="shared" si="13"/>
        <v>32.417923363298854</v>
      </c>
      <c r="J27" s="7">
        <f t="shared" si="14"/>
        <v>32.627923363298855</v>
      </c>
      <c r="K27" s="75">
        <f t="shared" si="15"/>
        <v>1.3210326773593906E-5</v>
      </c>
      <c r="L27">
        <f t="shared" si="16"/>
        <v>-3.8341638920150571E-3</v>
      </c>
      <c r="M27">
        <f t="shared" si="17"/>
        <v>-9.3933635884254024E-4</v>
      </c>
      <c r="N27" s="75">
        <f t="shared" si="18"/>
        <v>3.9168668308775523E-13</v>
      </c>
      <c r="O27" s="7">
        <f t="shared" si="19"/>
        <v>32.421367336075036</v>
      </c>
      <c r="Q27" s="7">
        <f t="shared" si="4"/>
        <v>31.532856316220276</v>
      </c>
      <c r="R27">
        <f t="shared" si="5"/>
        <v>3.5583436988495531E-3</v>
      </c>
      <c r="S27">
        <f t="shared" si="35"/>
        <v>-2.769805313456046E-3</v>
      </c>
      <c r="T27">
        <f t="shared" si="36"/>
        <v>-1.0057114074667791E-3</v>
      </c>
      <c r="U27" s="75">
        <f t="shared" si="37"/>
        <v>1.2875703006010042E-5</v>
      </c>
      <c r="V27" s="7">
        <f t="shared" si="38"/>
        <v>32.408252927358312</v>
      </c>
      <c r="W27" s="7">
        <f t="shared" si="21"/>
        <v>32.607775910245259</v>
      </c>
      <c r="X27" s="75">
        <f t="shared" si="39"/>
        <v>1.2875703006010042E-5</v>
      </c>
      <c r="Y27">
        <f t="shared" si="40"/>
        <v>-3.8152269634384416E-3</v>
      </c>
      <c r="Z27">
        <f t="shared" si="41"/>
        <v>-9.4049749794850534E-4</v>
      </c>
      <c r="AA27" s="75">
        <f t="shared" si="25"/>
        <v>3.6903813338540203E-13</v>
      </c>
      <c r="AB27" s="7">
        <f t="shared" si="42"/>
        <v>32.41162634438583</v>
      </c>
      <c r="AD27" s="7">
        <f t="shared" si="8"/>
        <v>31.237228776709635</v>
      </c>
      <c r="AE27">
        <f t="shared" si="9"/>
        <v>2.1491833737588006E-3</v>
      </c>
      <c r="AF27">
        <f t="shared" si="43"/>
        <v>-2.4696755412586049E-3</v>
      </c>
      <c r="AG27">
        <f t="shared" si="44"/>
        <v>-1.0248374882505548E-3</v>
      </c>
      <c r="AH27" s="75">
        <f t="shared" si="45"/>
        <v>4.5806579638263401E-6</v>
      </c>
      <c r="AI27" s="7">
        <f t="shared" si="46"/>
        <v>32.086016060857318</v>
      </c>
      <c r="AJ27" s="7">
        <f t="shared" si="28"/>
        <v>31.989911504233621</v>
      </c>
      <c r="AK27" s="75">
        <f t="shared" si="47"/>
        <v>4.5806579638263401E-6</v>
      </c>
      <c r="AL27">
        <f t="shared" si="48"/>
        <v>-3.2229034670529302E-3</v>
      </c>
      <c r="AM27">
        <f t="shared" si="49"/>
        <v>-9.7717854422634822E-4</v>
      </c>
      <c r="AN27" s="75">
        <f t="shared" si="32"/>
        <v>2.886579864025407E-14</v>
      </c>
      <c r="AO27" s="7">
        <f t="shared" si="50"/>
        <v>32.087437037769355</v>
      </c>
    </row>
    <row r="28" spans="2:41" x14ac:dyDescent="0.25">
      <c r="B28">
        <v>1.2</v>
      </c>
      <c r="C28" s="7">
        <f t="shared" si="12"/>
        <v>31.5</v>
      </c>
      <c r="D28" s="7">
        <f t="shared" si="0"/>
        <v>31.725000000000001</v>
      </c>
      <c r="E28">
        <f t="shared" si="1"/>
        <v>3.6022870622531844E-3</v>
      </c>
      <c r="F28">
        <f t="shared" si="2"/>
        <v>-2.9618760359772858E-3</v>
      </c>
      <c r="G28">
        <f t="shared" si="3"/>
        <v>-9.9356603891922373E-4</v>
      </c>
      <c r="H28" s="75">
        <f t="shared" si="34"/>
        <v>1.133561714672382E-5</v>
      </c>
      <c r="I28" s="7">
        <f t="shared" si="13"/>
        <v>32.536147386498989</v>
      </c>
      <c r="J28" s="7">
        <f t="shared" si="14"/>
        <v>32.76114738649899</v>
      </c>
      <c r="K28" s="75">
        <f t="shared" si="15"/>
        <v>1.133561714672382E-5</v>
      </c>
      <c r="L28">
        <f t="shared" si="16"/>
        <v>-3.9587971671263926E-3</v>
      </c>
      <c r="M28">
        <f t="shared" si="17"/>
        <v>-9.3171222281861589E-4</v>
      </c>
      <c r="N28" s="75">
        <f t="shared" si="18"/>
        <v>2.227107387398064E-13</v>
      </c>
      <c r="O28" s="7">
        <f t="shared" si="19"/>
        <v>32.5390098216428</v>
      </c>
      <c r="Q28" s="7">
        <f t="shared" si="4"/>
        <v>31.714362669779518</v>
      </c>
      <c r="R28">
        <f t="shared" si="5"/>
        <v>3.5508167179583161E-3</v>
      </c>
      <c r="S28">
        <f t="shared" si="35"/>
        <v>-2.9513036010087521E-3</v>
      </c>
      <c r="T28">
        <f t="shared" si="36"/>
        <v>-9.9423265565815998E-4</v>
      </c>
      <c r="U28" s="75">
        <f t="shared" si="37"/>
        <v>1.1015178170481477E-5</v>
      </c>
      <c r="V28" s="7">
        <f t="shared" si="38"/>
        <v>32.525868254362933</v>
      </c>
      <c r="W28" s="7">
        <f t="shared" si="21"/>
        <v>32.740230924142452</v>
      </c>
      <c r="X28" s="75">
        <f t="shared" si="39"/>
        <v>1.1015178170481477E-5</v>
      </c>
      <c r="Y28">
        <f t="shared" si="40"/>
        <v>-3.9392965932851416E-3</v>
      </c>
      <c r="Z28">
        <f t="shared" si="41"/>
        <v>-9.3290307261950146E-4</v>
      </c>
      <c r="AA28" s="75">
        <f t="shared" si="25"/>
        <v>2.0738966099997924E-13</v>
      </c>
      <c r="AB28" s="7">
        <f t="shared" si="42"/>
        <v>32.528663558850596</v>
      </c>
      <c r="AD28" s="7">
        <f t="shared" si="8"/>
        <v>31.414211612841324</v>
      </c>
      <c r="AE28">
        <f t="shared" si="9"/>
        <v>2.0518330891265979E-3</v>
      </c>
      <c r="AF28">
        <f t="shared" si="43"/>
        <v>-2.6500323271153939E-3</v>
      </c>
      <c r="AG28">
        <f t="shared" si="44"/>
        <v>-1.0133224632816143E-3</v>
      </c>
      <c r="AH28" s="75">
        <f t="shared" si="45"/>
        <v>3.3952230460432276E-6</v>
      </c>
      <c r="AI28" s="7">
        <f t="shared" si="46"/>
        <v>32.184647972949961</v>
      </c>
      <c r="AJ28" s="7">
        <f t="shared" si="28"/>
        <v>32.098859585791288</v>
      </c>
      <c r="AK28" s="75">
        <f t="shared" si="47"/>
        <v>3.3952230460432276E-6</v>
      </c>
      <c r="AL28">
        <f t="shared" si="48"/>
        <v>-3.3290038485838357E-3</v>
      </c>
      <c r="AM28">
        <f t="shared" si="49"/>
        <v>-9.7055643640050625E-4</v>
      </c>
      <c r="AN28" s="75">
        <f t="shared" si="32"/>
        <v>1.0658141036401503E-14</v>
      </c>
      <c r="AO28" s="7">
        <f t="shared" si="50"/>
        <v>32.185667712960587</v>
      </c>
    </row>
    <row r="29" spans="2:41" x14ac:dyDescent="0.25">
      <c r="B29">
        <v>1.28</v>
      </c>
      <c r="C29" s="7">
        <f t="shared" si="12"/>
        <v>31.666666666666668</v>
      </c>
      <c r="D29" s="7">
        <f t="shared" si="0"/>
        <v>31.906666666666666</v>
      </c>
      <c r="E29">
        <f t="shared" si="1"/>
        <v>3.565121397082871E-3</v>
      </c>
      <c r="F29">
        <f t="shared" si="2"/>
        <v>-3.1413461677017723E-3</v>
      </c>
      <c r="G29">
        <f t="shared" si="3"/>
        <v>-9.8228413454830386E-4</v>
      </c>
      <c r="H29" s="75">
        <f t="shared" si="34"/>
        <v>9.5459511677553621E-6</v>
      </c>
      <c r="I29" s="7">
        <f t="shared" si="13"/>
        <v>32.650297975336038</v>
      </c>
      <c r="J29" s="7">
        <f t="shared" si="14"/>
        <v>32.89029797533604</v>
      </c>
      <c r="K29" s="75">
        <f t="shared" si="15"/>
        <v>9.5459511677553621E-6</v>
      </c>
      <c r="L29">
        <f t="shared" si="16"/>
        <v>-4.078655843941157E-3</v>
      </c>
      <c r="M29">
        <f t="shared" si="17"/>
        <v>-9.2440946565908568E-4</v>
      </c>
      <c r="N29" s="75">
        <f t="shared" si="18"/>
        <v>1.2012613126444194E-13</v>
      </c>
      <c r="O29" s="7">
        <f t="shared" si="19"/>
        <v>32.652637819888</v>
      </c>
      <c r="Q29" s="7">
        <f t="shared" si="4"/>
        <v>31.895869023338761</v>
      </c>
      <c r="R29">
        <f t="shared" si="5"/>
        <v>3.5105346468433662E-3</v>
      </c>
      <c r="S29">
        <f t="shared" si="35"/>
        <v>-3.1307362234230182E-3</v>
      </c>
      <c r="T29">
        <f t="shared" si="36"/>
        <v>-9.829493083987088E-4</v>
      </c>
      <c r="U29" s="75">
        <f t="shared" si="37"/>
        <v>9.2446469757145877E-6</v>
      </c>
      <c r="V29" s="7">
        <f t="shared" si="38"/>
        <v>32.639430552305711</v>
      </c>
      <c r="W29" s="7">
        <f t="shared" si="21"/>
        <v>32.868632908977801</v>
      </c>
      <c r="X29" s="75">
        <f t="shared" si="39"/>
        <v>9.2446469757145877E-6</v>
      </c>
      <c r="Y29">
        <f t="shared" si="40"/>
        <v>-4.0586152506483023E-3</v>
      </c>
      <c r="Z29">
        <f t="shared" si="41"/>
        <v>-9.2562849980083132E-4</v>
      </c>
      <c r="AA29" s="75">
        <f t="shared" si="25"/>
        <v>1.1080025785759062E-13</v>
      </c>
      <c r="AB29" s="7">
        <f t="shared" si="42"/>
        <v>32.641707744508807</v>
      </c>
      <c r="AD29" s="7">
        <f t="shared" si="8"/>
        <v>31.591194448973013</v>
      </c>
      <c r="AE29">
        <f t="shared" si="9"/>
        <v>1.9227420779688309E-3</v>
      </c>
      <c r="AF29">
        <f t="shared" si="43"/>
        <v>-2.8283682931815185E-3</v>
      </c>
      <c r="AG29">
        <f t="shared" si="44"/>
        <v>-1.0020004270062405E-3</v>
      </c>
      <c r="AH29" s="75">
        <f t="shared" si="45"/>
        <v>2.4028038063672597E-6</v>
      </c>
      <c r="AI29" s="7">
        <f t="shared" si="46"/>
        <v>32.279867661808481</v>
      </c>
      <c r="AJ29" s="7">
        <f t="shared" si="28"/>
        <v>32.20439544411483</v>
      </c>
      <c r="AK29" s="75">
        <f t="shared" si="47"/>
        <v>2.4028038063672597E-6</v>
      </c>
      <c r="AL29">
        <f t="shared" si="48"/>
        <v>-3.4310966904004363E-3</v>
      </c>
      <c r="AM29">
        <f t="shared" si="49"/>
        <v>-9.6420570863297271E-4</v>
      </c>
      <c r="AN29" s="75">
        <f t="shared" si="32"/>
        <v>3.3306690738754696E-15</v>
      </c>
      <c r="AO29" s="7">
        <f t="shared" si="50"/>
        <v>32.280567894892947</v>
      </c>
    </row>
    <row r="30" spans="2:41" x14ac:dyDescent="0.25">
      <c r="B30">
        <v>1.36</v>
      </c>
      <c r="C30" s="7">
        <f t="shared" si="12"/>
        <v>31.833333333333336</v>
      </c>
      <c r="D30" s="7">
        <f t="shared" si="0"/>
        <v>32.088333333333338</v>
      </c>
      <c r="E30">
        <f t="shared" si="1"/>
        <v>3.4955371014275816E-3</v>
      </c>
      <c r="F30">
        <f t="shared" si="2"/>
        <v>-3.3187841751487063E-3</v>
      </c>
      <c r="G30">
        <f t="shared" si="3"/>
        <v>-9.7119330324232944E-4</v>
      </c>
      <c r="H30" s="75">
        <f t="shared" si="34"/>
        <v>7.8768877436186102E-6</v>
      </c>
      <c r="I30" s="7">
        <f t="shared" si="13"/>
        <v>32.760744987908176</v>
      </c>
      <c r="J30" s="7">
        <f t="shared" si="14"/>
        <v>33.015744987908178</v>
      </c>
      <c r="K30" s="75">
        <f t="shared" si="15"/>
        <v>7.8768877436186102E-6</v>
      </c>
      <c r="L30">
        <f t="shared" si="16"/>
        <v>-4.1941796300824716E-3</v>
      </c>
      <c r="M30">
        <f t="shared" si="17"/>
        <v>-9.173980172702507E-4</v>
      </c>
      <c r="N30" s="75">
        <f t="shared" si="18"/>
        <v>6.1284310959308641E-14</v>
      </c>
      <c r="O30" s="7">
        <f t="shared" si="19"/>
        <v>32.762622654397106</v>
      </c>
      <c r="Q30" s="7">
        <f t="shared" si="4"/>
        <v>32.077375376898004</v>
      </c>
      <c r="R30">
        <f t="shared" si="5"/>
        <v>3.4378692224821261E-3</v>
      </c>
      <c r="S30">
        <f t="shared" si="35"/>
        <v>-3.3081382457260597E-3</v>
      </c>
      <c r="T30">
        <f t="shared" si="36"/>
        <v>-9.7185695552309522E-4</v>
      </c>
      <c r="U30" s="75">
        <f t="shared" si="37"/>
        <v>7.5987567298430037E-6</v>
      </c>
      <c r="V30" s="7">
        <f t="shared" si="38"/>
        <v>32.749307938709507</v>
      </c>
      <c r="W30" s="7">
        <f t="shared" si="21"/>
        <v>32.993349982274175</v>
      </c>
      <c r="X30" s="75">
        <f t="shared" si="39"/>
        <v>7.5987567298430037E-6</v>
      </c>
      <c r="Y30">
        <f t="shared" si="40"/>
        <v>-4.1736205508284725E-3</v>
      </c>
      <c r="Z30">
        <f t="shared" si="41"/>
        <v>-9.1864385053790846E-4</v>
      </c>
      <c r="AA30" s="75">
        <f t="shared" si="25"/>
        <v>5.595524044110789E-14</v>
      </c>
      <c r="AB30" s="7">
        <f t="shared" si="42"/>
        <v>32.751128237100424</v>
      </c>
      <c r="AD30" s="7">
        <f t="shared" si="8"/>
        <v>31.768177285104702</v>
      </c>
      <c r="AE30">
        <f t="shared" si="9"/>
        <v>1.7622649907647059E-3</v>
      </c>
      <c r="AF30">
        <f t="shared" si="43"/>
        <v>-3.0047172138609815E-3</v>
      </c>
      <c r="AG30">
        <f t="shared" si="44"/>
        <v>-9.9086709081002062E-4</v>
      </c>
      <c r="AH30" s="75">
        <f t="shared" si="45"/>
        <v>1.60456335862591E-6</v>
      </c>
      <c r="AI30" s="7">
        <f t="shared" si="46"/>
        <v>32.371990986641414</v>
      </c>
      <c r="AJ30" s="7">
        <f t="shared" si="28"/>
        <v>32.306834938412784</v>
      </c>
      <c r="AK30" s="75">
        <f t="shared" si="47"/>
        <v>1.60456335862591E-6</v>
      </c>
      <c r="AL30">
        <f t="shared" si="48"/>
        <v>-3.5295562439690148E-3</v>
      </c>
      <c r="AM30">
        <f t="shared" si="49"/>
        <v>-9.5810073737422432E-4</v>
      </c>
      <c r="AN30" s="75">
        <f t="shared" si="32"/>
        <v>0</v>
      </c>
      <c r="AO30" s="7">
        <f t="shared" si="50"/>
        <v>32.372445566269981</v>
      </c>
    </row>
    <row r="31" spans="2:41" x14ac:dyDescent="0.25">
      <c r="B31">
        <v>1.44</v>
      </c>
      <c r="C31" s="7">
        <f t="shared" si="12"/>
        <v>32</v>
      </c>
      <c r="D31" s="7">
        <f t="shared" si="0"/>
        <v>32.270000000000003</v>
      </c>
      <c r="E31">
        <f t="shared" si="1"/>
        <v>3.3939002153275943E-3</v>
      </c>
      <c r="F31">
        <f t="shared" si="2"/>
        <v>-3.4942243783593202E-3</v>
      </c>
      <c r="G31">
        <f t="shared" si="3"/>
        <v>-9.6028925448807983E-4</v>
      </c>
      <c r="H31" s="75">
        <f t="shared" si="34"/>
        <v>6.3546145452342273E-6</v>
      </c>
      <c r="I31" s="7">
        <f t="shared" si="13"/>
        <v>32.867806123802019</v>
      </c>
      <c r="J31" s="7">
        <f t="shared" si="14"/>
        <v>33.137806123802022</v>
      </c>
      <c r="K31" s="75">
        <f t="shared" si="15"/>
        <v>6.3546145452342273E-6</v>
      </c>
      <c r="L31">
        <f t="shared" si="16"/>
        <v>-4.3057458074688658E-3</v>
      </c>
      <c r="M31">
        <f t="shared" si="17"/>
        <v>-9.1065210232929171E-4</v>
      </c>
      <c r="N31" s="75">
        <f t="shared" si="18"/>
        <v>2.9309887850104133E-14</v>
      </c>
      <c r="O31" s="7">
        <f t="shared" si="19"/>
        <v>32.869281738802151</v>
      </c>
      <c r="Q31" s="7">
        <f t="shared" si="4"/>
        <v>32.25888173045724</v>
      </c>
      <c r="R31">
        <f t="shared" si="5"/>
        <v>3.3331858892857724E-3</v>
      </c>
      <c r="S31">
        <f t="shared" si="35"/>
        <v>-3.4835439437639684E-3</v>
      </c>
      <c r="T31">
        <f t="shared" si="36"/>
        <v>-9.6095131058612489E-4</v>
      </c>
      <c r="U31" s="75">
        <f t="shared" si="37"/>
        <v>6.1027792421786131E-6</v>
      </c>
      <c r="V31" s="7">
        <f t="shared" si="38"/>
        <v>32.855816644031208</v>
      </c>
      <c r="W31" s="7">
        <f t="shared" si="21"/>
        <v>33.114698374488448</v>
      </c>
      <c r="X31" s="75">
        <f t="shared" si="39"/>
        <v>6.1027792421786131E-6</v>
      </c>
      <c r="Y31">
        <f t="shared" si="40"/>
        <v>-4.2846880028881151E-3</v>
      </c>
      <c r="Z31">
        <f t="shared" si="41"/>
        <v>-9.1192346903772872E-4</v>
      </c>
      <c r="AA31" s="75">
        <f t="shared" si="25"/>
        <v>2.6201263381153694E-14</v>
      </c>
      <c r="AB31" s="7">
        <f t="shared" si="42"/>
        <v>32.857240751109892</v>
      </c>
      <c r="AD31" s="7">
        <f t="shared" si="8"/>
        <v>31.945160121236388</v>
      </c>
      <c r="AE31">
        <f t="shared" si="9"/>
        <v>1.5707505670452537E-3</v>
      </c>
      <c r="AF31">
        <f t="shared" si="43"/>
        <v>-3.1791121150888391E-3</v>
      </c>
      <c r="AG31">
        <f t="shared" si="44"/>
        <v>-9.7991828454761418E-4</v>
      </c>
      <c r="AH31" s="75">
        <f t="shared" si="45"/>
        <v>9.9291270694301659E-7</v>
      </c>
      <c r="AI31" s="7">
        <f t="shared" si="46"/>
        <v>32.461290078796146</v>
      </c>
      <c r="AJ31" s="7">
        <f t="shared" si="28"/>
        <v>32.406450200032538</v>
      </c>
      <c r="AK31" s="75">
        <f t="shared" si="47"/>
        <v>9.9291270694301659E-7</v>
      </c>
      <c r="AL31">
        <f t="shared" si="48"/>
        <v>-3.6247043189261141E-3</v>
      </c>
      <c r="AM31">
        <f t="shared" si="49"/>
        <v>-9.5221951529058735E-4</v>
      </c>
      <c r="AN31" s="75">
        <f t="shared" si="32"/>
        <v>0</v>
      </c>
      <c r="AO31" s="7">
        <f t="shared" si="50"/>
        <v>32.461563998237892</v>
      </c>
    </row>
    <row r="32" spans="2:41" x14ac:dyDescent="0.25">
      <c r="B32">
        <v>1.52</v>
      </c>
      <c r="C32" s="7">
        <f t="shared" si="12"/>
        <v>32.166666666666664</v>
      </c>
      <c r="D32" s="7">
        <f t="shared" si="0"/>
        <v>32.451666666666661</v>
      </c>
      <c r="E32">
        <f t="shared" si="1"/>
        <v>3.2605706141501933E-3</v>
      </c>
      <c r="F32">
        <f t="shared" si="2"/>
        <v>-3.6677003288710479E-3</v>
      </c>
      <c r="G32">
        <f t="shared" si="3"/>
        <v>-9.4956781752817874E-4</v>
      </c>
      <c r="H32" s="75">
        <f t="shared" si="34"/>
        <v>4.996945487167892E-6</v>
      </c>
      <c r="I32" s="7">
        <f t="shared" si="13"/>
        <v>32.971756917980109</v>
      </c>
      <c r="J32" s="7">
        <f t="shared" si="14"/>
        <v>33.256756917980105</v>
      </c>
      <c r="K32" s="75">
        <f t="shared" si="15"/>
        <v>4.996945487167892E-6</v>
      </c>
      <c r="L32">
        <f t="shared" si="16"/>
        <v>-4.4136811557323047E-3</v>
      </c>
      <c r="M32">
        <f t="shared" si="17"/>
        <v>-9.0414941959360577E-4</v>
      </c>
      <c r="N32" s="75">
        <f t="shared" si="18"/>
        <v>1.3100631690576847E-14</v>
      </c>
      <c r="O32" s="7">
        <f t="shared" si="19"/>
        <v>32.972888935901921</v>
      </c>
      <c r="Q32" s="7">
        <f t="shared" si="4"/>
        <v>32.440388084016476</v>
      </c>
      <c r="R32">
        <f t="shared" si="5"/>
        <v>3.1968439403284865E-3</v>
      </c>
      <c r="S32">
        <f t="shared" si="35"/>
        <v>-3.6569868262793272E-3</v>
      </c>
      <c r="T32">
        <f t="shared" si="36"/>
        <v>-9.5022820672106335E-4</v>
      </c>
      <c r="U32" s="75">
        <f t="shared" si="37"/>
        <v>4.7736188313329819E-6</v>
      </c>
      <c r="V32" s="7">
        <f t="shared" si="38"/>
        <v>32.959230950956083</v>
      </c>
      <c r="W32" s="7">
        <f t="shared" si="21"/>
        <v>33.232952368305895</v>
      </c>
      <c r="X32" s="75">
        <f t="shared" si="39"/>
        <v>4.7736188313329819E-6</v>
      </c>
      <c r="Y32">
        <f t="shared" si="40"/>
        <v>-4.3921428692677289E-3</v>
      </c>
      <c r="Z32">
        <f t="shared" si="41"/>
        <v>-9.0544515629972127E-4</v>
      </c>
      <c r="AA32" s="75">
        <f t="shared" si="25"/>
        <v>1.1546319456101628E-14</v>
      </c>
      <c r="AB32" s="7">
        <f t="shared" si="42"/>
        <v>32.960317683403943</v>
      </c>
      <c r="AD32" s="7">
        <f t="shared" si="8"/>
        <v>32.122142957368077</v>
      </c>
      <c r="AE32">
        <f t="shared" si="9"/>
        <v>1.3485417660257237E-3</v>
      </c>
      <c r="AF32">
        <f t="shared" si="43"/>
        <v>-3.3515852949504051E-3</v>
      </c>
      <c r="AG32">
        <f t="shared" si="44"/>
        <v>-9.6914995263721899E-4</v>
      </c>
      <c r="AH32" s="75">
        <f t="shared" si="45"/>
        <v>5.5276137045368046E-7</v>
      </c>
      <c r="AI32" s="7">
        <f t="shared" si="46"/>
        <v>32.548001625712402</v>
      </c>
      <c r="AJ32" s="7">
        <f t="shared" si="28"/>
        <v>32.503477916413814</v>
      </c>
      <c r="AK32" s="75">
        <f t="shared" si="47"/>
        <v>5.5276137045368046E-7</v>
      </c>
      <c r="AL32">
        <f t="shared" si="48"/>
        <v>-3.7168202010655314E-3</v>
      </c>
      <c r="AM32">
        <f t="shared" si="49"/>
        <v>-9.4654296684010362E-4</v>
      </c>
      <c r="AN32" s="75">
        <f t="shared" si="32"/>
        <v>0</v>
      </c>
      <c r="AO32" s="7">
        <f t="shared" si="50"/>
        <v>32.548150341785139</v>
      </c>
    </row>
    <row r="33" spans="2:41" x14ac:dyDescent="0.25">
      <c r="B33">
        <v>1.6</v>
      </c>
      <c r="C33" s="7">
        <f t="shared" si="12"/>
        <v>32.333333333333336</v>
      </c>
      <c r="D33" s="7">
        <f t="shared" si="0"/>
        <v>32.633333333333333</v>
      </c>
      <c r="E33">
        <f t="shared" si="1"/>
        <v>3.0959021462486636E-3</v>
      </c>
      <c r="F33">
        <f t="shared" si="2"/>
        <v>-3.839244831108448E-3</v>
      </c>
      <c r="G33">
        <f t="shared" si="3"/>
        <v>-9.390249373722536E-4</v>
      </c>
      <c r="H33" s="75">
        <f t="shared" si="34"/>
        <v>3.8142295928356162E-6</v>
      </c>
      <c r="I33" s="7">
        <f t="shared" si="13"/>
        <v>33.072838381718</v>
      </c>
      <c r="J33" s="7">
        <f t="shared" si="14"/>
        <v>33.372838381717997</v>
      </c>
      <c r="K33" s="75">
        <f t="shared" si="15"/>
        <v>3.8142295928356162E-6</v>
      </c>
      <c r="L33">
        <f t="shared" si="16"/>
        <v>-4.5182710765971842E-3</v>
      </c>
      <c r="M33">
        <f t="shared" si="17"/>
        <v>-8.9787051378007279E-4</v>
      </c>
      <c r="N33" s="75">
        <f t="shared" si="18"/>
        <v>5.3290705182007514E-15</v>
      </c>
      <c r="O33" s="7">
        <f t="shared" si="19"/>
        <v>33.073682489929624</v>
      </c>
      <c r="Q33" s="7">
        <f t="shared" si="4"/>
        <v>32.621894437575726</v>
      </c>
      <c r="R33">
        <f t="shared" si="5"/>
        <v>3.0291966546320825E-3</v>
      </c>
      <c r="S33">
        <f t="shared" si="35"/>
        <v>-3.8284996562518332E-3</v>
      </c>
      <c r="T33">
        <f t="shared" si="36"/>
        <v>-9.3968359265881663E-4</v>
      </c>
      <c r="U33" s="75">
        <f t="shared" si="37"/>
        <v>3.6207291778111994E-6</v>
      </c>
      <c r="V33" s="7">
        <f t="shared" si="38"/>
        <v>33.059790793744824</v>
      </c>
      <c r="W33" s="7">
        <f t="shared" si="21"/>
        <v>33.348351897987214</v>
      </c>
      <c r="X33" s="75">
        <f t="shared" si="39"/>
        <v>3.6207291778111994E-6</v>
      </c>
      <c r="Y33">
        <f t="shared" si="40"/>
        <v>-4.4962692415741502E-3</v>
      </c>
      <c r="Z33">
        <f t="shared" si="41"/>
        <v>-8.9918954528380704E-4</v>
      </c>
      <c r="AA33" s="75">
        <f t="shared" si="25"/>
        <v>4.6629367034256575E-15</v>
      </c>
      <c r="AB33" s="7">
        <f t="shared" si="42"/>
        <v>33.060596003015696</v>
      </c>
      <c r="AD33" s="7">
        <f t="shared" si="8"/>
        <v>32.299125793499769</v>
      </c>
      <c r="AE33">
        <f t="shared" si="9"/>
        <v>1.0959758936472941E-3</v>
      </c>
      <c r="AF33">
        <f t="shared" si="43"/>
        <v>-3.5221683436224352E-3</v>
      </c>
      <c r="AG33">
        <f t="shared" si="44"/>
        <v>-9.5855815030442936E-4</v>
      </c>
      <c r="AH33" s="75">
        <f t="shared" si="45"/>
        <v>2.6261286634188252E-7</v>
      </c>
      <c r="AI33" s="7">
        <f t="shared" si="46"/>
        <v>32.632333210014622</v>
      </c>
      <c r="AJ33" s="7">
        <f t="shared" si="28"/>
        <v>32.598125670181055</v>
      </c>
      <c r="AK33" s="75">
        <f t="shared" si="47"/>
        <v>2.6261286634188252E-7</v>
      </c>
      <c r="AL33">
        <f t="shared" si="48"/>
        <v>-3.8061482499668932E-3</v>
      </c>
      <c r="AM33">
        <f t="shared" si="49"/>
        <v>-9.4105442383713518E-4</v>
      </c>
      <c r="AN33" s="75">
        <f t="shared" si="32"/>
        <v>0</v>
      </c>
      <c r="AO33" s="7">
        <f t="shared" si="50"/>
        <v>32.632402206440709</v>
      </c>
    </row>
    <row r="34" spans="2:41" x14ac:dyDescent="0.25">
      <c r="B34">
        <v>1.68</v>
      </c>
      <c r="C34" s="7">
        <f t="shared" si="12"/>
        <v>32.5</v>
      </c>
      <c r="D34" s="7">
        <f t="shared" si="0"/>
        <v>32.814999999999998</v>
      </c>
      <c r="E34">
        <f t="shared" si="1"/>
        <v>2.9002427667983444E-3</v>
      </c>
      <c r="F34">
        <f t="shared" si="2"/>
        <v>-4.008889963063568E-3</v>
      </c>
      <c r="G34">
        <f t="shared" si="3"/>
        <v>-9.2865667096224565E-4</v>
      </c>
      <c r="H34" s="75">
        <f t="shared" si="34"/>
        <v>2.8101778648537135E-6</v>
      </c>
      <c r="I34" s="7">
        <f t="shared" si="13"/>
        <v>33.171262934045458</v>
      </c>
      <c r="J34" s="7">
        <f t="shared" si="14"/>
        <v>33.486262934045456</v>
      </c>
      <c r="K34" s="75">
        <f t="shared" si="15"/>
        <v>2.8101778648537135E-6</v>
      </c>
      <c r="L34">
        <f t="shared" si="16"/>
        <v>-4.6197666836795444E-3</v>
      </c>
      <c r="M34">
        <f t="shared" si="17"/>
        <v>-8.9179828742993095E-4</v>
      </c>
      <c r="N34" s="75">
        <f t="shared" si="18"/>
        <v>1.9984014443252818E-15</v>
      </c>
      <c r="O34" s="7">
        <f t="shared" si="19"/>
        <v>33.171871192661996</v>
      </c>
      <c r="Q34" s="7">
        <f t="shared" si="4"/>
        <v>32.803400791134962</v>
      </c>
      <c r="R34">
        <f t="shared" si="5"/>
        <v>2.8305914306436808E-3</v>
      </c>
      <c r="S34">
        <f t="shared" si="35"/>
        <v>-3.9981144715303535E-3</v>
      </c>
      <c r="T34">
        <f t="shared" si="36"/>
        <v>-9.293135289008724E-4</v>
      </c>
      <c r="U34" s="75">
        <f t="shared" si="37"/>
        <v>2.6469462537370703E-6</v>
      </c>
      <c r="V34" s="7">
        <f t="shared" si="38"/>
        <v>33.157707657521811</v>
      </c>
      <c r="W34" s="7">
        <f t="shared" si="21"/>
        <v>33.461108448656773</v>
      </c>
      <c r="X34" s="75">
        <f t="shared" si="39"/>
        <v>2.6469462537370703E-6</v>
      </c>
      <c r="Y34">
        <f t="shared" si="40"/>
        <v>-4.5973170928211154E-3</v>
      </c>
      <c r="Z34">
        <f t="shared" si="41"/>
        <v>-8.931396153156496E-4</v>
      </c>
      <c r="AA34" s="75">
        <f t="shared" si="25"/>
        <v>0</v>
      </c>
      <c r="AB34" s="7">
        <f t="shared" si="42"/>
        <v>33.158283384229307</v>
      </c>
      <c r="AD34" s="7">
        <f t="shared" si="8"/>
        <v>32.476108629631455</v>
      </c>
      <c r="AE34">
        <f t="shared" si="9"/>
        <v>8.1338472614933544E-4</v>
      </c>
      <c r="AF34">
        <f t="shared" si="43"/>
        <v>-3.6908921626623466E-3</v>
      </c>
      <c r="AG34">
        <f t="shared" si="44"/>
        <v>-9.4813903996898718E-4</v>
      </c>
      <c r="AH34" s="75">
        <f t="shared" si="45"/>
        <v>9.5528006838208057E-8</v>
      </c>
      <c r="AI34" s="7">
        <f t="shared" si="46"/>
        <v>32.714468235274929</v>
      </c>
      <c r="AJ34" s="7">
        <f t="shared" si="28"/>
        <v>32.690576864906383</v>
      </c>
      <c r="AK34" s="75">
        <f t="shared" si="47"/>
        <v>9.5528006838208057E-8</v>
      </c>
      <c r="AL34">
        <f t="shared" si="48"/>
        <v>-3.8929038092406498E-3</v>
      </c>
      <c r="AM34">
        <f t="shared" si="49"/>
        <v>-9.3573921738552971E-4</v>
      </c>
      <c r="AN34" s="75">
        <f t="shared" si="32"/>
        <v>0</v>
      </c>
      <c r="AO34" s="7">
        <f t="shared" si="50"/>
        <v>32.7144927742129</v>
      </c>
    </row>
    <row r="35" spans="2:41" x14ac:dyDescent="0.25">
      <c r="B35">
        <v>1.76</v>
      </c>
      <c r="C35" s="7">
        <f t="shared" si="12"/>
        <v>32.666666666666664</v>
      </c>
      <c r="D35" s="7">
        <f t="shared" si="0"/>
        <v>32.996666666666663</v>
      </c>
      <c r="E35">
        <f t="shared" si="1"/>
        <v>2.6739346679367504E-3</v>
      </c>
      <c r="F35">
        <f t="shared" si="2"/>
        <v>-4.1766670962932462E-3</v>
      </c>
      <c r="G35">
        <f t="shared" si="3"/>
        <v>-9.1845918348509186E-4</v>
      </c>
      <c r="H35" s="75">
        <f t="shared" si="34"/>
        <v>1.9826149526558368E-6</v>
      </c>
      <c r="I35" s="7">
        <f t="shared" si="13"/>
        <v>33.267219069201587</v>
      </c>
      <c r="J35" s="7">
        <f t="shared" si="14"/>
        <v>33.597219069201586</v>
      </c>
      <c r="K35" s="75">
        <f t="shared" si="15"/>
        <v>1.9826149526558368E-6</v>
      </c>
      <c r="L35">
        <f t="shared" si="16"/>
        <v>-4.7183903871088166E-3</v>
      </c>
      <c r="M35">
        <f t="shared" si="17"/>
        <v>-8.8591761634419601E-4</v>
      </c>
      <c r="N35" s="75">
        <f t="shared" si="18"/>
        <v>0</v>
      </c>
      <c r="O35" s="7">
        <f t="shared" si="19"/>
        <v>33.267639241461183</v>
      </c>
      <c r="Q35" s="7">
        <f t="shared" si="4"/>
        <v>32.984907144694198</v>
      </c>
      <c r="R35">
        <f t="shared" si="5"/>
        <v>2.6013699160316595E-3</v>
      </c>
      <c r="S35">
        <f t="shared" si="35"/>
        <v>-4.1658626047839237E-3</v>
      </c>
      <c r="T35">
        <f t="shared" si="36"/>
        <v>-9.1911418403924083E-4</v>
      </c>
      <c r="U35" s="75">
        <f t="shared" si="37"/>
        <v>1.8492445832407611E-6</v>
      </c>
      <c r="V35" s="7">
        <f t="shared" si="38"/>
        <v>33.253169220546148</v>
      </c>
      <c r="W35" s="7">
        <f t="shared" si="21"/>
        <v>33.571409698573682</v>
      </c>
      <c r="X35" s="75">
        <f t="shared" si="39"/>
        <v>1.8492445832407611E-6</v>
      </c>
      <c r="Y35">
        <f t="shared" si="40"/>
        <v>-4.6955078326333492E-3</v>
      </c>
      <c r="Z35">
        <f t="shared" si="41"/>
        <v>-8.872803095105609E-4</v>
      </c>
      <c r="AA35" s="75">
        <f t="shared" si="25"/>
        <v>0</v>
      </c>
      <c r="AB35" s="7">
        <f t="shared" si="42"/>
        <v>33.253563038604561</v>
      </c>
      <c r="AD35" s="7">
        <f t="shared" si="8"/>
        <v>32.65309146576314</v>
      </c>
      <c r="AE35">
        <f t="shared" si="9"/>
        <v>5.0109463028169543E-4</v>
      </c>
      <c r="AF35">
        <f t="shared" si="43"/>
        <v>-3.8577869836701438E-3</v>
      </c>
      <c r="AG35">
        <f t="shared" si="44"/>
        <v>-9.3788888776824954E-4</v>
      </c>
      <c r="AH35" s="75">
        <f t="shared" si="45"/>
        <v>1.9974490506058373E-8</v>
      </c>
      <c r="AI35" s="7">
        <f t="shared" si="46"/>
        <v>32.794569806534035</v>
      </c>
      <c r="AJ35" s="7">
        <f t="shared" si="28"/>
        <v>32.780994605630511</v>
      </c>
      <c r="AK35" s="75">
        <f t="shared" si="47"/>
        <v>1.9974490506058373E-8</v>
      </c>
      <c r="AL35">
        <f t="shared" si="48"/>
        <v>-3.9772778678805708E-3</v>
      </c>
      <c r="AM35">
        <f t="shared" si="49"/>
        <v>-9.3058435596000554E-4</v>
      </c>
      <c r="AN35" s="75">
        <f t="shared" si="32"/>
        <v>0</v>
      </c>
      <c r="AO35" s="7">
        <f t="shared" si="50"/>
        <v>32.794574828682208</v>
      </c>
    </row>
    <row r="36" spans="2:41" x14ac:dyDescent="0.25">
      <c r="B36">
        <v>1.84</v>
      </c>
      <c r="C36" s="7">
        <f t="shared" si="12"/>
        <v>32.833333333333336</v>
      </c>
      <c r="D36" s="7">
        <f t="shared" si="0"/>
        <v>33.178333333333335</v>
      </c>
      <c r="E36">
        <f t="shared" si="1"/>
        <v>2.4173144053361018E-3</v>
      </c>
      <c r="F36">
        <f t="shared" si="2"/>
        <v>-4.3426069152594053E-3</v>
      </c>
      <c r="G36">
        <f t="shared" si="3"/>
        <v>-9.0842874482635009E-4</v>
      </c>
      <c r="H36" s="75">
        <f t="shared" si="34"/>
        <v>1.3241621759085831E-6</v>
      </c>
      <c r="I36" s="7">
        <f t="shared" si="13"/>
        <v>33.360875074727232</v>
      </c>
      <c r="J36" s="7">
        <f t="shared" si="14"/>
        <v>33.705875074727231</v>
      </c>
      <c r="K36" s="75">
        <f t="shared" si="15"/>
        <v>1.3241621759085831E-6</v>
      </c>
      <c r="L36">
        <f t="shared" si="16"/>
        <v>-4.8143403469328924E-3</v>
      </c>
      <c r="M36">
        <f t="shared" si="17"/>
        <v>-8.8021504286658414E-4</v>
      </c>
      <c r="N36" s="75">
        <f t="shared" si="18"/>
        <v>0</v>
      </c>
      <c r="O36" s="7">
        <f t="shared" si="19"/>
        <v>33.361150113213931</v>
      </c>
      <c r="Q36" s="7">
        <f t="shared" si="4"/>
        <v>33.166413498253448</v>
      </c>
      <c r="R36">
        <f t="shared" si="5"/>
        <v>2.3418681339189007E-3</v>
      </c>
      <c r="S36">
        <f t="shared" si="35"/>
        <v>-4.3317747027975285E-3</v>
      </c>
      <c r="T36">
        <f t="shared" si="36"/>
        <v>-9.090818312169895E-4</v>
      </c>
      <c r="U36" s="75">
        <f t="shared" si="37"/>
        <v>1.2194237237750372E-6</v>
      </c>
      <c r="V36" s="7">
        <f t="shared" si="38"/>
        <v>33.346343052345802</v>
      </c>
      <c r="W36" s="7">
        <f t="shared" si="21"/>
        <v>33.679423217265914</v>
      </c>
      <c r="X36" s="75">
        <f t="shared" si="39"/>
        <v>1.2194237237750372E-6</v>
      </c>
      <c r="Y36">
        <f t="shared" si="40"/>
        <v>-4.7910387373353187E-3</v>
      </c>
      <c r="Z36">
        <f t="shared" si="41"/>
        <v>-8.815982296315792E-4</v>
      </c>
      <c r="AA36" s="75">
        <f t="shared" si="25"/>
        <v>0</v>
      </c>
      <c r="AB36" s="7">
        <f t="shared" si="42"/>
        <v>33.34659756816928</v>
      </c>
      <c r="AD36" s="7">
        <f t="shared" si="8"/>
        <v>32.830074301894832</v>
      </c>
      <c r="AE36">
        <f t="shared" si="9"/>
        <v>1.5942668026958096E-4</v>
      </c>
      <c r="AF36">
        <f t="shared" si="43"/>
        <v>-4.0228823863466927E-3</v>
      </c>
      <c r="AG36">
        <f t="shared" si="44"/>
        <v>-9.2780406021149124E-4</v>
      </c>
      <c r="AH36" s="75">
        <f t="shared" si="45"/>
        <v>5.7786886387134473E-10</v>
      </c>
      <c r="AI36" s="7">
        <f t="shared" si="46"/>
        <v>32.872783825572931</v>
      </c>
      <c r="AJ36" s="7">
        <f t="shared" si="28"/>
        <v>32.869524794134428</v>
      </c>
      <c r="AK36" s="75">
        <f t="shared" si="47"/>
        <v>5.7786886387134473E-10</v>
      </c>
      <c r="AL36">
        <f t="shared" si="48"/>
        <v>-4.0594407825671475E-3</v>
      </c>
      <c r="AM36">
        <f t="shared" si="49"/>
        <v>-9.2557826827942313E-4</v>
      </c>
      <c r="AN36" s="75">
        <f t="shared" si="32"/>
        <v>0</v>
      </c>
      <c r="AO36" s="7">
        <f t="shared" si="50"/>
        <v>32.872783967924768</v>
      </c>
    </row>
    <row r="37" spans="2:41" x14ac:dyDescent="0.25">
      <c r="B37">
        <v>1.92</v>
      </c>
      <c r="C37" s="7">
        <f t="shared" si="12"/>
        <v>33</v>
      </c>
      <c r="D37" s="7">
        <f t="shared" si="0"/>
        <v>33.36</v>
      </c>
      <c r="E37">
        <f t="shared" si="1"/>
        <v>2.1307130213132908E-3</v>
      </c>
      <c r="F37">
        <f t="shared" si="2"/>
        <v>-4.5067394360373755E-3</v>
      </c>
      <c r="G37">
        <f t="shared" si="3"/>
        <v>-8.9856172615864144E-4</v>
      </c>
      <c r="H37" s="75">
        <f t="shared" si="34"/>
        <v>8.2285804881010449E-7</v>
      </c>
      <c r="I37" s="7">
        <f t="shared" si="13"/>
        <v>33.452382026354648</v>
      </c>
      <c r="J37" s="7">
        <f t="shared" si="14"/>
        <v>33.812382026354648</v>
      </c>
      <c r="K37" s="75">
        <f t="shared" si="15"/>
        <v>8.2285804881010449E-7</v>
      </c>
      <c r="L37">
        <f t="shared" si="16"/>
        <v>-4.9077940641978277E-3</v>
      </c>
      <c r="M37">
        <f t="shared" si="17"/>
        <v>-8.7467852851774773E-4</v>
      </c>
      <c r="N37" s="75">
        <f t="shared" si="18"/>
        <v>0</v>
      </c>
      <c r="O37" s="7">
        <f t="shared" si="19"/>
        <v>33.452549687373903</v>
      </c>
      <c r="Q37" s="7">
        <f t="shared" si="4"/>
        <v>33.347919851812684</v>
      </c>
      <c r="R37">
        <f t="shared" si="5"/>
        <v>2.052416605672347E-3</v>
      </c>
      <c r="S37">
        <f t="shared" si="35"/>
        <v>-4.4958807451377474E-3</v>
      </c>
      <c r="T37">
        <f t="shared" si="36"/>
        <v>-8.9921284472326446E-4</v>
      </c>
      <c r="U37" s="75">
        <f t="shared" si="37"/>
        <v>7.4473134437091915E-7</v>
      </c>
      <c r="V37" s="7">
        <f t="shared" si="38"/>
        <v>33.437379592627629</v>
      </c>
      <c r="W37" s="7">
        <f t="shared" si="21"/>
        <v>33.785299444440312</v>
      </c>
      <c r="X37" s="75">
        <f t="shared" si="39"/>
        <v>7.4473134437091915E-7</v>
      </c>
      <c r="Y37">
        <f t="shared" si="40"/>
        <v>-4.8840865223560882E-3</v>
      </c>
      <c r="Z37">
        <f t="shared" si="41"/>
        <v>-8.7608138998467001E-4</v>
      </c>
      <c r="AA37" s="75">
        <f t="shared" si="25"/>
        <v>0</v>
      </c>
      <c r="AB37" s="7">
        <f t="shared" si="42"/>
        <v>33.437532071736378</v>
      </c>
      <c r="AD37" s="7">
        <f t="shared" si="8"/>
        <v>33.007057138026518</v>
      </c>
      <c r="AE37">
        <f t="shared" si="9"/>
        <v>-2.1130322836659943E-4</v>
      </c>
      <c r="AF37">
        <f t="shared" si="43"/>
        <v>-4.1862073159710141E-3</v>
      </c>
      <c r="AG37">
        <f t="shared" si="44"/>
        <v>-9.1788102095944875E-4</v>
      </c>
      <c r="AH37" s="75">
        <f t="shared" si="45"/>
        <v>-1.2136298632725584E-9</v>
      </c>
      <c r="AI37" s="7">
        <f t="shared" si="46"/>
        <v>32.949241487856007</v>
      </c>
      <c r="AJ37" s="7">
        <f t="shared" si="28"/>
        <v>32.956298625882525</v>
      </c>
      <c r="AK37" s="75">
        <f t="shared" si="47"/>
        <v>-1.2136298632725584E-9</v>
      </c>
      <c r="AL37">
        <f t="shared" si="48"/>
        <v>-4.1395452837816975E-3</v>
      </c>
      <c r="AM37">
        <f t="shared" si="49"/>
        <v>-9.2071059560910895E-4</v>
      </c>
      <c r="AN37" s="75">
        <f t="shared" si="32"/>
        <v>0</v>
      </c>
      <c r="AO37" s="7">
        <f t="shared" si="50"/>
        <v>32.949241194676489</v>
      </c>
    </row>
    <row r="38" spans="2:41" x14ac:dyDescent="0.25">
      <c r="B38">
        <v>2</v>
      </c>
      <c r="C38" s="7">
        <f t="shared" si="12"/>
        <v>33.166666666666664</v>
      </c>
      <c r="D38" s="7">
        <f t="shared" si="0"/>
        <v>33.541666666666664</v>
      </c>
      <c r="E38">
        <f t="shared" si="1"/>
        <v>1.8144561646036284E-3</v>
      </c>
      <c r="F38">
        <f t="shared" si="2"/>
        <v>-4.6690940244163599E-3</v>
      </c>
      <c r="G38">
        <f t="shared" si="3"/>
        <v>-8.8885459665907969E-4</v>
      </c>
      <c r="H38" s="75">
        <f t="shared" si="34"/>
        <v>4.627219287733908E-7</v>
      </c>
      <c r="I38" s="7">
        <f t="shared" si="13"/>
        <v>33.541876224891681</v>
      </c>
      <c r="J38" s="7">
        <f t="shared" si="14"/>
        <v>33.916876224891681</v>
      </c>
      <c r="K38" s="75">
        <f t="shared" si="15"/>
        <v>4.627219287733908E-7</v>
      </c>
      <c r="L38">
        <f t="shared" si="16"/>
        <v>-4.9989113061749552E-3</v>
      </c>
      <c r="M38">
        <f t="shared" si="17"/>
        <v>-8.6929725246561557E-4</v>
      </c>
      <c r="N38" s="75">
        <f t="shared" si="18"/>
        <v>0</v>
      </c>
      <c r="O38" s="7">
        <f t="shared" si="19"/>
        <v>33.541968788687342</v>
      </c>
      <c r="Q38" s="7">
        <f t="shared" si="4"/>
        <v>33.529426205371919</v>
      </c>
      <c r="R38">
        <f t="shared" si="5"/>
        <v>1.7333404703585575E-3</v>
      </c>
      <c r="S38">
        <f t="shared" si="35"/>
        <v>-4.6582100622122383E-3</v>
      </c>
      <c r="T38">
        <f t="shared" si="36"/>
        <v>-8.8950369671697744E-4</v>
      </c>
      <c r="U38" s="75">
        <f t="shared" si="37"/>
        <v>4.0842873194613105E-7</v>
      </c>
      <c r="V38" s="7">
        <f t="shared" si="38"/>
        <v>33.526414575244679</v>
      </c>
      <c r="W38" s="7">
        <f t="shared" si="21"/>
        <v>33.889174113949935</v>
      </c>
      <c r="X38" s="75">
        <f t="shared" si="39"/>
        <v>4.0842873194613105E-7</v>
      </c>
      <c r="Y38">
        <f t="shared" si="40"/>
        <v>-4.9748102523531693E-3</v>
      </c>
      <c r="Z38">
        <f t="shared" si="41"/>
        <v>-8.7071901690841168E-4</v>
      </c>
      <c r="AA38" s="75">
        <f t="shared" si="25"/>
        <v>0</v>
      </c>
      <c r="AB38" s="7">
        <f t="shared" si="42"/>
        <v>33.526496674013643</v>
      </c>
      <c r="AD38" s="7">
        <f t="shared" si="8"/>
        <v>33.184039974158203</v>
      </c>
      <c r="AE38">
        <f t="shared" si="9"/>
        <v>-6.107842680347364E-4</v>
      </c>
      <c r="AF38">
        <f t="shared" si="43"/>
        <v>-4.3477901003183654E-3</v>
      </c>
      <c r="AG38">
        <f t="shared" si="44"/>
        <v>-9.0811632772376874E-4</v>
      </c>
      <c r="AH38" s="75">
        <f t="shared" si="45"/>
        <v>-2.6539989095297756E-8</v>
      </c>
      <c r="AI38" s="7">
        <f t="shared" si="46"/>
        <v>33.024061317694454</v>
      </c>
      <c r="AJ38" s="7">
        <f t="shared" si="28"/>
        <v>33.041434625185993</v>
      </c>
      <c r="AK38" s="75">
        <f t="shared" si="47"/>
        <v>-2.6539989095297756E-8</v>
      </c>
      <c r="AL38">
        <f t="shared" si="48"/>
        <v>-4.2177289286149285E-3</v>
      </c>
      <c r="AM38">
        <f t="shared" si="49"/>
        <v>-9.1597202226216491E-4</v>
      </c>
      <c r="AN38" s="75">
        <f t="shared" si="32"/>
        <v>0</v>
      </c>
      <c r="AO38" s="7">
        <f t="shared" si="50"/>
        <v>33.024055025206792</v>
      </c>
    </row>
    <row r="39" spans="2:41" x14ac:dyDescent="0.25">
      <c r="B39">
        <v>2.08</v>
      </c>
      <c r="C39" s="7">
        <f t="shared" si="12"/>
        <v>33.333333333333336</v>
      </c>
      <c r="D39" s="7">
        <f t="shared" si="0"/>
        <v>33.723333333333336</v>
      </c>
      <c r="E39">
        <f t="shared" si="1"/>
        <v>1.4688642068934055E-3</v>
      </c>
      <c r="F39">
        <f t="shared" si="2"/>
        <v>-4.8296994134147744E-3</v>
      </c>
      <c r="G39">
        <f t="shared" si="3"/>
        <v>-8.7930392035014961E-4</v>
      </c>
      <c r="H39" s="75">
        <f t="shared" si="34"/>
        <v>2.2426593671021067E-7</v>
      </c>
      <c r="I39" s="7">
        <f t="shared" si="13"/>
        <v>33.629481197518899</v>
      </c>
      <c r="J39" s="7">
        <f t="shared" si="14"/>
        <v>34.0194811975189</v>
      </c>
      <c r="K39" s="75">
        <f t="shared" si="15"/>
        <v>2.2426593671021067E-7</v>
      </c>
      <c r="L39">
        <f t="shared" si="16"/>
        <v>-5.0878365113856544E-3</v>
      </c>
      <c r="M39">
        <f t="shared" si="17"/>
        <v>-8.6406144581204901E-4</v>
      </c>
      <c r="N39" s="75">
        <f t="shared" si="18"/>
        <v>0</v>
      </c>
      <c r="O39" s="7">
        <f t="shared" si="19"/>
        <v>33.629525276194933</v>
      </c>
      <c r="Q39" s="7">
        <f t="shared" si="4"/>
        <v>33.710932558931169</v>
      </c>
      <c r="R39">
        <f t="shared" si="5"/>
        <v>1.3849596009767318E-3</v>
      </c>
      <c r="S39">
        <f t="shared" si="35"/>
        <v>-4.8187913527457105E-3</v>
      </c>
      <c r="T39">
        <f t="shared" si="36"/>
        <v>-8.7995095407364973E-4</v>
      </c>
      <c r="U39" s="75">
        <f t="shared" si="37"/>
        <v>1.9030398035191354E-7</v>
      </c>
      <c r="V39" s="7">
        <f t="shared" si="38"/>
        <v>33.613571018966972</v>
      </c>
      <c r="W39" s="7">
        <f t="shared" si="21"/>
        <v>33.991170244564806</v>
      </c>
      <c r="X39" s="75">
        <f t="shared" si="39"/>
        <v>1.9030398035191354E-7</v>
      </c>
      <c r="Y39">
        <f t="shared" si="40"/>
        <v>-5.0633537339190918E-3</v>
      </c>
      <c r="Z39">
        <f t="shared" si="41"/>
        <v>-8.6550138389173965E-4</v>
      </c>
      <c r="AA39" s="75">
        <f t="shared" si="25"/>
        <v>0</v>
      </c>
      <c r="AB39" s="7">
        <f t="shared" si="42"/>
        <v>33.613608603417724</v>
      </c>
      <c r="AD39" s="7">
        <f t="shared" si="8"/>
        <v>33.361022810289896</v>
      </c>
      <c r="AE39">
        <f t="shared" si="9"/>
        <v>-1.0387105712414968E-3</v>
      </c>
      <c r="AF39">
        <f t="shared" si="43"/>
        <v>-4.5076584660397392E-3</v>
      </c>
      <c r="AG39">
        <f t="shared" si="44"/>
        <v>-8.9850662928129329E-4</v>
      </c>
      <c r="AH39" s="75">
        <f t="shared" si="45"/>
        <v>-1.1860718229783629E-7</v>
      </c>
      <c r="AI39" s="7">
        <f t="shared" si="46"/>
        <v>33.097350842832135</v>
      </c>
      <c r="AJ39" s="7">
        <f t="shared" si="28"/>
        <v>33.125040319788695</v>
      </c>
      <c r="AK39" s="75">
        <f t="shared" si="47"/>
        <v>-1.1860718229783629E-7</v>
      </c>
      <c r="AL39">
        <f t="shared" si="48"/>
        <v>-4.29411612105755E-3</v>
      </c>
      <c r="AM39">
        <f t="shared" si="49"/>
        <v>-9.1135413597059369E-4</v>
      </c>
      <c r="AN39" s="75">
        <f t="shared" si="32"/>
        <v>0</v>
      </c>
      <c r="AO39" s="7">
        <f t="shared" si="50"/>
        <v>33.09732322189069</v>
      </c>
    </row>
    <row r="40" spans="2:41" x14ac:dyDescent="0.25">
      <c r="B40">
        <v>2.16</v>
      </c>
      <c r="C40" s="7">
        <f t="shared" si="12"/>
        <v>33.5</v>
      </c>
      <c r="D40" s="7">
        <f t="shared" si="0"/>
        <v>33.905000000000001</v>
      </c>
      <c r="E40">
        <f t="shared" si="1"/>
        <v>1.0942523562278428E-3</v>
      </c>
      <c r="F40">
        <f t="shared" si="2"/>
        <v>-4.9885837202324965E-3</v>
      </c>
      <c r="G40">
        <f t="shared" si="3"/>
        <v>-8.6990635305875708E-4</v>
      </c>
      <c r="H40" s="75">
        <f t="shared" si="34"/>
        <v>8.4959767443493206E-8</v>
      </c>
      <c r="I40" s="7">
        <f t="shared" si="13"/>
        <v>33.715309355430186</v>
      </c>
      <c r="J40" s="7">
        <f t="shared" si="14"/>
        <v>34.120309355430187</v>
      </c>
      <c r="K40" s="75">
        <f t="shared" si="15"/>
        <v>8.4959767443493206E-8</v>
      </c>
      <c r="L40">
        <f t="shared" si="16"/>
        <v>-5.1747007838444034E-3</v>
      </c>
      <c r="M40">
        <f t="shared" si="17"/>
        <v>-8.5896225416786623E-4</v>
      </c>
      <c r="N40" s="75">
        <f t="shared" si="18"/>
        <v>0</v>
      </c>
      <c r="O40" s="7">
        <f t="shared" si="19"/>
        <v>33.715325773703476</v>
      </c>
      <c r="Q40" s="7">
        <f t="shared" si="4"/>
        <v>33.892438912490405</v>
      </c>
      <c r="R40">
        <f t="shared" si="5"/>
        <v>1.0075887175680087E-3</v>
      </c>
      <c r="S40">
        <f t="shared" si="35"/>
        <v>-4.9776527006943454E-3</v>
      </c>
      <c r="T40">
        <f t="shared" si="36"/>
        <v>-8.7055127535014211E-4</v>
      </c>
      <c r="U40" s="75">
        <f t="shared" si="37"/>
        <v>6.7137627679514367E-8</v>
      </c>
      <c r="V40" s="7">
        <f t="shared" si="38"/>
        <v>33.698960876475731</v>
      </c>
      <c r="W40" s="7">
        <f t="shared" si="21"/>
        <v>34.091399788966136</v>
      </c>
      <c r="X40" s="75">
        <f t="shared" si="39"/>
        <v>6.7137627679514367E-8</v>
      </c>
      <c r="Y40">
        <f t="shared" si="40"/>
        <v>-5.149847499696162E-3</v>
      </c>
      <c r="Z40">
        <f t="shared" si="41"/>
        <v>-8.6041967483210379E-4</v>
      </c>
      <c r="AA40" s="75">
        <f t="shared" si="25"/>
        <v>0</v>
      </c>
      <c r="AB40" s="7">
        <f t="shared" si="42"/>
        <v>33.698973913280135</v>
      </c>
      <c r="AD40" s="7">
        <f t="shared" si="8"/>
        <v>33.538005646421581</v>
      </c>
      <c r="AE40">
        <f t="shared" si="9"/>
        <v>-1.4947811256122989E-3</v>
      </c>
      <c r="AF40">
        <f t="shared" si="43"/>
        <v>-4.6658395545227799E-3</v>
      </c>
      <c r="AG40">
        <f t="shared" si="44"/>
        <v>-8.890486625983459E-4</v>
      </c>
      <c r="AH40" s="75">
        <f t="shared" si="45"/>
        <v>-3.2222430568218385E-7</v>
      </c>
      <c r="AI40" s="7">
        <f t="shared" si="46"/>
        <v>33.169207984453905</v>
      </c>
      <c r="AJ40" s="7">
        <f t="shared" si="28"/>
        <v>33.207213630875486</v>
      </c>
      <c r="AK40" s="75">
        <f t="shared" si="47"/>
        <v>-3.2222430568218385E-7</v>
      </c>
      <c r="AL40">
        <f t="shared" si="48"/>
        <v>-4.368819790536875E-3</v>
      </c>
      <c r="AM40">
        <f t="shared" si="49"/>
        <v>-9.0684931186618342E-4</v>
      </c>
      <c r="AN40" s="75">
        <f t="shared" si="32"/>
        <v>0</v>
      </c>
      <c r="AO40" s="7">
        <f t="shared" si="50"/>
        <v>33.169134228431055</v>
      </c>
    </row>
    <row r="41" spans="2:41" x14ac:dyDescent="0.25">
      <c r="B41">
        <v>2.2400000000000002</v>
      </c>
      <c r="C41" s="7">
        <f t="shared" si="12"/>
        <v>33.666666666666664</v>
      </c>
      <c r="D41" s="7">
        <f t="shared" si="0"/>
        <v>34.086666666666666</v>
      </c>
      <c r="E41">
        <f t="shared" si="1"/>
        <v>6.9093076738435677E-4</v>
      </c>
      <c r="F41">
        <f t="shared" si="2"/>
        <v>-5.1457744626610992E-3</v>
      </c>
      <c r="G41">
        <f t="shared" si="3"/>
        <v>-8.6065863948841842E-4</v>
      </c>
      <c r="H41" s="75">
        <f t="shared" si="34"/>
        <v>1.9652610205866949E-8</v>
      </c>
      <c r="I41" s="7">
        <f t="shared" si="13"/>
        <v>33.799463377681491</v>
      </c>
      <c r="J41" s="7">
        <f t="shared" si="14"/>
        <v>34.219463377681492</v>
      </c>
      <c r="K41" s="75">
        <f t="shared" si="15"/>
        <v>1.9652610205866949E-8</v>
      </c>
      <c r="L41">
        <f t="shared" si="16"/>
        <v>-5.2596235597168195E-3</v>
      </c>
      <c r="M41">
        <f t="shared" si="17"/>
        <v>-8.5399162279185988E-4</v>
      </c>
      <c r="N41" s="75">
        <f t="shared" si="18"/>
        <v>0</v>
      </c>
      <c r="O41" s="7">
        <f t="shared" si="19"/>
        <v>33.799467114185447</v>
      </c>
      <c r="Q41" s="7">
        <f t="shared" si="4"/>
        <v>34.073945266049648</v>
      </c>
      <c r="R41">
        <f t="shared" si="5"/>
        <v>6.0153749730806894E-4</v>
      </c>
      <c r="S41">
        <f t="shared" si="35"/>
        <v>-5.1348215916197405E-3</v>
      </c>
      <c r="T41">
        <f t="shared" si="36"/>
        <v>-8.6130140786225306E-4</v>
      </c>
      <c r="U41" s="75">
        <f t="shared" si="37"/>
        <v>1.3125012632286825E-8</v>
      </c>
      <c r="V41" s="7">
        <f t="shared" si="38"/>
        <v>33.782686411064134</v>
      </c>
      <c r="W41" s="7">
        <f t="shared" si="21"/>
        <v>34.189965010447111</v>
      </c>
      <c r="X41" s="75">
        <f t="shared" si="39"/>
        <v>1.3125012632286825E-8</v>
      </c>
      <c r="Y41">
        <f t="shared" si="40"/>
        <v>-5.2344104666497415E-3</v>
      </c>
      <c r="Z41">
        <f t="shared" si="41"/>
        <v>-8.5546586973993016E-4</v>
      </c>
      <c r="AA41" s="75">
        <f t="shared" si="25"/>
        <v>0</v>
      </c>
      <c r="AB41" s="7">
        <f t="shared" si="42"/>
        <v>33.782688918511731</v>
      </c>
      <c r="AD41" s="7">
        <f t="shared" si="8"/>
        <v>33.714988482553267</v>
      </c>
      <c r="AE41">
        <f t="shared" si="9"/>
        <v>-1.978699671679518E-3</v>
      </c>
      <c r="AF41">
        <f t="shared" si="43"/>
        <v>-4.8223599372531449E-3</v>
      </c>
      <c r="AG41">
        <f t="shared" si="44"/>
        <v>-8.7973925006040233E-4</v>
      </c>
      <c r="AH41" s="75">
        <f t="shared" si="45"/>
        <v>-6.8339356884550284E-7</v>
      </c>
      <c r="AI41" s="7">
        <f t="shared" si="46"/>
        <v>33.239722220376471</v>
      </c>
      <c r="AJ41" s="7">
        <f t="shared" si="28"/>
        <v>33.288044036263074</v>
      </c>
      <c r="AK41" s="75">
        <f t="shared" si="47"/>
        <v>-6.8339356884550284E-7</v>
      </c>
      <c r="AL41">
        <f t="shared" si="48"/>
        <v>-4.4419427977284848E-3</v>
      </c>
      <c r="AM41">
        <f t="shared" si="49"/>
        <v>-9.0245061530907426E-4</v>
      </c>
      <c r="AN41" s="75">
        <f t="shared" si="32"/>
        <v>0</v>
      </c>
      <c r="AO41" s="7">
        <f t="shared" si="50"/>
        <v>33.239568367821242</v>
      </c>
    </row>
    <row r="42" spans="2:41" x14ac:dyDescent="0.25">
      <c r="B42">
        <v>2.3199999999999998</v>
      </c>
      <c r="C42" s="7">
        <f t="shared" si="12"/>
        <v>33.833333333333336</v>
      </c>
      <c r="D42" s="7">
        <f t="shared" si="0"/>
        <v>34.268333333333338</v>
      </c>
      <c r="E42">
        <f t="shared" si="1"/>
        <v>2.5920464931461495E-4</v>
      </c>
      <c r="F42">
        <f t="shared" si="2"/>
        <v>-5.3012985749720382E-3</v>
      </c>
      <c r="G42">
        <f t="shared" si="3"/>
        <v>-8.5155761039981356E-4</v>
      </c>
      <c r="H42" s="75">
        <f t="shared" si="34"/>
        <v>9.5594332449877584E-10</v>
      </c>
      <c r="I42" s="7">
        <f t="shared" si="13"/>
        <v>33.882037374939905</v>
      </c>
      <c r="J42" s="7">
        <f t="shared" si="14"/>
        <v>34.317037374939908</v>
      </c>
      <c r="K42" s="75">
        <f t="shared" si="15"/>
        <v>9.5594332449877584E-10</v>
      </c>
      <c r="L42">
        <f t="shared" si="16"/>
        <v>-5.3427140103628826E-3</v>
      </c>
      <c r="M42">
        <f t="shared" si="17"/>
        <v>-8.4914219989183431E-4</v>
      </c>
      <c r="N42" s="75">
        <f t="shared" si="18"/>
        <v>0</v>
      </c>
      <c r="O42" s="7">
        <f t="shared" si="19"/>
        <v>33.882037553864571</v>
      </c>
      <c r="Q42" s="7">
        <f t="shared" si="4"/>
        <v>34.255451619608891</v>
      </c>
      <c r="R42">
        <f t="shared" si="5"/>
        <v>1.6711068167118981E-4</v>
      </c>
      <c r="S42">
        <f t="shared" si="35"/>
        <v>-5.2903249285421311E-3</v>
      </c>
      <c r="T42">
        <f t="shared" si="36"/>
        <v>-8.5219818487042992E-4</v>
      </c>
      <c r="U42" s="75">
        <f t="shared" si="37"/>
        <v>2.5921109703119782E-10</v>
      </c>
      <c r="V42" s="7">
        <f t="shared" si="38"/>
        <v>33.864841354437964</v>
      </c>
      <c r="W42" s="7">
        <f t="shared" si="21"/>
        <v>34.286959640713519</v>
      </c>
      <c r="X42" s="75">
        <f t="shared" si="39"/>
        <v>2.5921109703119782E-10</v>
      </c>
      <c r="Y42">
        <f t="shared" si="40"/>
        <v>-5.3171513321225612E-3</v>
      </c>
      <c r="Z42">
        <f t="shared" si="41"/>
        <v>-8.5063264851091796E-4</v>
      </c>
      <c r="AA42" s="75">
        <f t="shared" si="25"/>
        <v>0</v>
      </c>
      <c r="AB42" s="7">
        <f t="shared" si="42"/>
        <v>33.86484140318796</v>
      </c>
      <c r="AD42" s="7">
        <f t="shared" si="8"/>
        <v>33.891971318684959</v>
      </c>
      <c r="AE42">
        <f t="shared" si="9"/>
        <v>-2.4901746033407779E-3</v>
      </c>
      <c r="AF42">
        <f t="shared" si="43"/>
        <v>-4.9772456306945677E-3</v>
      </c>
      <c r="AG42">
        <f t="shared" si="44"/>
        <v>-8.7057529680276884E-4</v>
      </c>
      <c r="AH42" s="75">
        <f t="shared" si="45"/>
        <v>-1.2489475198496081E-6</v>
      </c>
      <c r="AI42" s="7">
        <f t="shared" si="46"/>
        <v>33.308975565812815</v>
      </c>
      <c r="AJ42" s="7">
        <f t="shared" si="28"/>
        <v>33.367613551164439</v>
      </c>
      <c r="AK42" s="75">
        <f t="shared" si="47"/>
        <v>-1.2489475198496081E-6</v>
      </c>
      <c r="AL42">
        <f t="shared" si="48"/>
        <v>-4.5135791207339959E-3</v>
      </c>
      <c r="AM42">
        <f t="shared" si="49"/>
        <v>-8.9815171990056258E-4</v>
      </c>
      <c r="AN42" s="75">
        <f t="shared" si="32"/>
        <v>0</v>
      </c>
      <c r="AO42" s="7">
        <f t="shared" si="50"/>
        <v>33.308698849292931</v>
      </c>
    </row>
    <row r="43" spans="2:41" x14ac:dyDescent="0.25">
      <c r="B43">
        <v>2.4</v>
      </c>
      <c r="C43" s="7">
        <f t="shared" si="12"/>
        <v>34</v>
      </c>
      <c r="D43" s="7">
        <f>$C$5*((1-$C$8-D$11)*$B43-D$11*$C$4*$C$6)+$C43</f>
        <v>34.450000000000003</v>
      </c>
      <c r="E43">
        <f>1+LN(D43/$C$7)-($C43-E$11*$C$4*$C$6*$C$5)/$C$7</f>
        <v>-2.0062563025446956E-4</v>
      </c>
      <c r="F43">
        <f>1/D43-1/$C$7</f>
        <v>-5.4551824233021393E-3</v>
      </c>
      <c r="G43">
        <f>-(D43^(-2))</f>
        <v>-8.4260017989513827E-4</v>
      </c>
      <c r="H43" s="75">
        <f t="shared" si="34"/>
        <v>-4.0936254386281234E-10</v>
      </c>
      <c r="I43" s="7">
        <f t="shared" si="13"/>
        <v>33.963117874815275</v>
      </c>
      <c r="J43" s="7">
        <f t="shared" si="14"/>
        <v>34.413117874815278</v>
      </c>
      <c r="K43" s="75">
        <f t="shared" si="15"/>
        <v>-4.0936254386281234E-10</v>
      </c>
      <c r="L43">
        <f t="shared" si="16"/>
        <v>-5.4240722314556553E-3</v>
      </c>
      <c r="M43">
        <f t="shared" si="17"/>
        <v>-8.4440725466785336E-4</v>
      </c>
      <c r="N43" s="75">
        <f t="shared" si="18"/>
        <v>0</v>
      </c>
      <c r="O43" s="7">
        <f t="shared" si="19"/>
        <v>33.963117799343834</v>
      </c>
      <c r="Q43" s="7">
        <f t="shared" si="4"/>
        <v>34.436957973168127</v>
      </c>
      <c r="R43">
        <f t="shared" si="5"/>
        <v>-2.9539181923454727E-4</v>
      </c>
      <c r="S43">
        <f t="shared" si="35"/>
        <v>-5.4441890472923977E-3</v>
      </c>
      <c r="T43">
        <f t="shared" si="36"/>
        <v>-8.4323852286903285E-4</v>
      </c>
      <c r="U43" s="75">
        <f t="shared" si="37"/>
        <v>-1.3219818573162456E-9</v>
      </c>
      <c r="V43" s="7">
        <f t="shared" si="38"/>
        <v>33.945511887070715</v>
      </c>
      <c r="W43" s="7">
        <f t="shared" si="21"/>
        <v>34.382469860238842</v>
      </c>
      <c r="X43" s="75">
        <f t="shared" si="39"/>
        <v>-1.3219818573162456E-9</v>
      </c>
      <c r="Y43">
        <f t="shared" si="40"/>
        <v>-5.3981697570944613E-3</v>
      </c>
      <c r="Z43">
        <f t="shared" si="41"/>
        <v>-8.4591330936436551E-4</v>
      </c>
      <c r="AA43" s="75">
        <f t="shared" si="25"/>
        <v>0</v>
      </c>
      <c r="AB43" s="7">
        <f t="shared" si="42"/>
        <v>33.94551164217625</v>
      </c>
      <c r="AD43" s="7">
        <f t="shared" si="8"/>
        <v>34.068954154816645</v>
      </c>
      <c r="AE43">
        <f t="shared" si="9"/>
        <v>-3.0289188709131665E-3</v>
      </c>
      <c r="AF43">
        <f t="shared" si="43"/>
        <v>-5.1305221107050721E-3</v>
      </c>
      <c r="AG43">
        <f t="shared" si="44"/>
        <v>-8.6155378813807177E-4</v>
      </c>
      <c r="AH43" s="75">
        <f t="shared" si="45"/>
        <v>-2.0662285535877345E-6</v>
      </c>
      <c r="AI43" s="7">
        <f t="shared" si="46"/>
        <v>33.377043406167125</v>
      </c>
      <c r="AJ43" s="7">
        <f t="shared" si="28"/>
        <v>33.44599756098377</v>
      </c>
      <c r="AK43" s="75">
        <f t="shared" si="47"/>
        <v>-2.0662285535877345E-6</v>
      </c>
      <c r="AL43">
        <f t="shared" si="48"/>
        <v>-4.5838148628708081E-3</v>
      </c>
      <c r="AM43">
        <f t="shared" si="49"/>
        <v>-8.9394683783321455E-4</v>
      </c>
      <c r="AN43" s="75">
        <f t="shared" si="32"/>
        <v>0</v>
      </c>
      <c r="AO43" s="7">
        <f t="shared" si="50"/>
        <v>33.376592620207404</v>
      </c>
    </row>
    <row r="44" spans="2:41" x14ac:dyDescent="0.25">
      <c r="B44">
        <v>2.48</v>
      </c>
      <c r="C44" s="7">
        <f t="shared" si="12"/>
        <v>34.166666666666664</v>
      </c>
      <c r="D44" s="7">
        <f t="shared" si="0"/>
        <v>34.631666666666668</v>
      </c>
      <c r="E44">
        <f t="shared" si="1"/>
        <v>-6.8826444297021006E-4</v>
      </c>
      <c r="F44">
        <f t="shared" ref="F44:F107" si="51">1/D44-1/$C$7</f>
        <v>-5.6074518205549047E-3</v>
      </c>
      <c r="G44">
        <f t="shared" ref="G44:G107" si="52">-(D44^(-2))</f>
        <v>-8.3378334280190822E-4</v>
      </c>
      <c r="H44" s="75">
        <f t="shared" si="34"/>
        <v>-1.5298546207631603E-8</v>
      </c>
      <c r="I44" s="7">
        <f t="shared" si="13"/>
        <v>34.042784661441054</v>
      </c>
      <c r="J44" s="7">
        <f t="shared" si="14"/>
        <v>34.507784661441057</v>
      </c>
      <c r="K44" s="75">
        <f t="shared" si="15"/>
        <v>-1.5298546207631603E-8</v>
      </c>
      <c r="L44">
        <f t="shared" si="16"/>
        <v>-5.5037902571424477E-3</v>
      </c>
      <c r="M44">
        <f t="shared" si="17"/>
        <v>-8.3978060741546996E-4</v>
      </c>
      <c r="N44" s="75">
        <f t="shared" si="18"/>
        <v>0</v>
      </c>
      <c r="O44" s="7">
        <f t="shared" si="19"/>
        <v>34.042781881802163</v>
      </c>
      <c r="Q44" s="7">
        <f t="shared" si="4"/>
        <v>34.61846432672737</v>
      </c>
      <c r="R44">
        <f t="shared" si="5"/>
        <v>-7.8567482507541087E-4</v>
      </c>
      <c r="S44">
        <f t="shared" si="35"/>
        <v>-5.5964397313810754E-3</v>
      </c>
      <c r="T44">
        <f t="shared" si="36"/>
        <v>-8.3441941897482552E-4</v>
      </c>
      <c r="U44" s="75">
        <f t="shared" si="37"/>
        <v>-2.3021873074569044E-8</v>
      </c>
      <c r="V44" s="7">
        <f t="shared" si="38"/>
        <v>34.02477747359903</v>
      </c>
      <c r="W44" s="7">
        <f t="shared" si="21"/>
        <v>34.476575133659736</v>
      </c>
      <c r="X44" s="75">
        <f t="shared" si="39"/>
        <v>-2.3021873074569044E-8</v>
      </c>
      <c r="Y44">
        <f t="shared" si="40"/>
        <v>-5.477557375404344E-3</v>
      </c>
      <c r="Z44">
        <f t="shared" si="41"/>
        <v>-8.4130169927950065E-4</v>
      </c>
      <c r="AA44" s="75">
        <f t="shared" si="25"/>
        <v>0</v>
      </c>
      <c r="AB44" s="7">
        <f t="shared" si="42"/>
        <v>34.024773270652545</v>
      </c>
      <c r="AD44" s="7">
        <f t="shared" si="8"/>
        <v>34.24593699094833</v>
      </c>
      <c r="AE44">
        <f t="shared" si="9"/>
        <v>-3.5946498866983312E-3</v>
      </c>
      <c r="AF44">
        <f t="shared" si="43"/>
        <v>-5.2822143265062703E-3</v>
      </c>
      <c r="AG44">
        <f t="shared" si="44"/>
        <v>-8.5267178707656586E-4</v>
      </c>
      <c r="AH44" s="75">
        <f t="shared" si="45"/>
        <v>-3.1828063740135804E-6</v>
      </c>
      <c r="AI44" s="7">
        <f t="shared" si="46"/>
        <v>33.443995208865076</v>
      </c>
      <c r="AJ44" s="7">
        <f t="shared" si="28"/>
        <v>33.523265533146741</v>
      </c>
      <c r="AK44" s="75">
        <f t="shared" si="47"/>
        <v>-3.1828063740135804E-6</v>
      </c>
      <c r="AL44">
        <f t="shared" si="48"/>
        <v>-4.6527291144283466E-3</v>
      </c>
      <c r="AM44">
        <f t="shared" si="49"/>
        <v>-8.898306603444203E-4</v>
      </c>
      <c r="AN44" s="75">
        <f t="shared" si="32"/>
        <v>-2.886579864025407E-15</v>
      </c>
      <c r="AO44" s="7">
        <f t="shared" si="50"/>
        <v>33.443311091108868</v>
      </c>
    </row>
    <row r="45" spans="2:41" x14ac:dyDescent="0.25">
      <c r="B45">
        <v>2.56</v>
      </c>
      <c r="C45" s="7">
        <f t="shared" si="12"/>
        <v>34.333333333333336</v>
      </c>
      <c r="D45" s="7">
        <f t="shared" si="0"/>
        <v>34.813333333333333</v>
      </c>
      <c r="E45">
        <f t="shared" si="1"/>
        <v>-1.2034208006672653E-3</v>
      </c>
      <c r="F45">
        <f t="shared" si="51"/>
        <v>-5.758132040835192E-3</v>
      </c>
      <c r="G45">
        <f t="shared" si="52"/>
        <v>-8.2510417215208144E-4</v>
      </c>
      <c r="H45" s="75">
        <f t="shared" si="34"/>
        <v>-7.5858262338357463E-8</v>
      </c>
      <c r="I45" s="7">
        <f t="shared" si="13"/>
        <v>34.121111495129313</v>
      </c>
      <c r="J45" s="7">
        <f t="shared" si="14"/>
        <v>34.60111149512931</v>
      </c>
      <c r="K45" s="75">
        <f t="shared" si="15"/>
        <v>-7.5858262338357463E-8</v>
      </c>
      <c r="L45">
        <f t="shared" si="16"/>
        <v>-5.5819529300757294E-3</v>
      </c>
      <c r="M45">
        <f t="shared" si="17"/>
        <v>-8.352565695666221E-4</v>
      </c>
      <c r="N45" s="75">
        <f t="shared" si="18"/>
        <v>0</v>
      </c>
      <c r="O45" s="7">
        <f t="shared" si="19"/>
        <v>34.121097905201125</v>
      </c>
      <c r="Q45" s="7">
        <f t="shared" si="4"/>
        <v>34.799970680286613</v>
      </c>
      <c r="R45">
        <f t="shared" si="5"/>
        <v>-1.3034477863567151E-3</v>
      </c>
      <c r="S45">
        <f t="shared" si="35"/>
        <v>-5.7471022264020261E-3</v>
      </c>
      <c r="T45">
        <f t="shared" si="36"/>
        <v>-8.2573794841056352E-4</v>
      </c>
      <c r="U45" s="75">
        <f t="shared" si="37"/>
        <v>-9.7500670870331874E-8</v>
      </c>
      <c r="V45" s="7">
        <f t="shared" si="38"/>
        <v>34.102711578941239</v>
      </c>
      <c r="W45" s="7">
        <f t="shared" si="21"/>
        <v>34.569348925894516</v>
      </c>
      <c r="X45" s="75">
        <f t="shared" si="39"/>
        <v>-9.7500670870331874E-8</v>
      </c>
      <c r="Y45">
        <f t="shared" si="40"/>
        <v>-5.5553986595959122E-3</v>
      </c>
      <c r="Z45">
        <f t="shared" si="41"/>
        <v>-8.3679215431868939E-4</v>
      </c>
      <c r="AA45" s="75">
        <f t="shared" si="25"/>
        <v>0</v>
      </c>
      <c r="AB45" s="7">
        <f t="shared" si="42"/>
        <v>34.102694028301634</v>
      </c>
      <c r="AD45" s="7">
        <f t="shared" si="8"/>
        <v>34.422919827080023</v>
      </c>
      <c r="AE45">
        <f t="shared" si="9"/>
        <v>-4.1870894329796293E-3</v>
      </c>
      <c r="AF45">
        <f t="shared" si="43"/>
        <v>-5.4323467142216204E-3</v>
      </c>
      <c r="AG45">
        <f t="shared" si="44"/>
        <v>-8.4392643193545967E-4</v>
      </c>
      <c r="AH45" s="75">
        <f t="shared" si="45"/>
        <v>-4.6462295557603284E-6</v>
      </c>
      <c r="AI45" s="7">
        <f t="shared" si="46"/>
        <v>33.509895135565507</v>
      </c>
      <c r="AJ45" s="7">
        <f t="shared" si="28"/>
        <v>33.599481629312194</v>
      </c>
      <c r="AK45" s="75">
        <f t="shared" si="47"/>
        <v>-4.6462295557603284E-6</v>
      </c>
      <c r="AL45">
        <f t="shared" si="48"/>
        <v>-4.7203946939914573E-3</v>
      </c>
      <c r="AM45">
        <f t="shared" si="49"/>
        <v>-8.8579830650522618E-4</v>
      </c>
      <c r="AN45" s="75">
        <f t="shared" si="32"/>
        <v>-7.9936057773011271E-15</v>
      </c>
      <c r="AO45" s="7">
        <f t="shared" si="50"/>
        <v>33.508910756286355</v>
      </c>
    </row>
    <row r="46" spans="2:41" x14ac:dyDescent="0.25">
      <c r="B46">
        <v>2.64</v>
      </c>
      <c r="C46" s="7">
        <f t="shared" si="12"/>
        <v>34.5</v>
      </c>
      <c r="D46" s="7">
        <f t="shared" si="0"/>
        <v>34.994999999999997</v>
      </c>
      <c r="E46">
        <f t="shared" si="1"/>
        <v>-1.7458082587642476E-3</v>
      </c>
      <c r="F46">
        <f t="shared" si="51"/>
        <v>-5.9072478334343294E-3</v>
      </c>
      <c r="G46">
        <f t="shared" si="52"/>
        <v>-8.1655981675254538E-4</v>
      </c>
      <c r="H46" s="75">
        <f t="shared" si="34"/>
        <v>-2.1526913895897337E-7</v>
      </c>
      <c r="I46" s="7">
        <f t="shared" si="13"/>
        <v>34.198166732682296</v>
      </c>
      <c r="J46" s="7">
        <f t="shared" si="14"/>
        <v>34.693166732682293</v>
      </c>
      <c r="K46" s="75">
        <f t="shared" si="15"/>
        <v>-2.1526913895897337E-7</v>
      </c>
      <c r="L46">
        <f t="shared" si="16"/>
        <v>-5.6586386519016339E-3</v>
      </c>
      <c r="M46">
        <f t="shared" si="17"/>
        <v>-8.3082989197508445E-4</v>
      </c>
      <c r="N46" s="75">
        <f t="shared" si="18"/>
        <v>0</v>
      </c>
      <c r="O46" s="7">
        <f t="shared" si="19"/>
        <v>34.198128690009241</v>
      </c>
      <c r="Q46" s="7">
        <f t="shared" si="4"/>
        <v>34.981477033845849</v>
      </c>
      <c r="R46">
        <f t="shared" si="5"/>
        <v>-1.8484246880601241E-3</v>
      </c>
      <c r="S46">
        <f t="shared" si="35"/>
        <v>-5.8962012539877373E-3</v>
      </c>
      <c r="T46">
        <f t="shared" si="36"/>
        <v>-8.1719126207973963E-4</v>
      </c>
      <c r="U46" s="75">
        <f t="shared" si="37"/>
        <v>-2.5841867712372846E-7</v>
      </c>
      <c r="V46" s="7">
        <f t="shared" si="38"/>
        <v>34.179382285608845</v>
      </c>
      <c r="W46" s="7">
        <f t="shared" si="21"/>
        <v>34.660859319454694</v>
      </c>
      <c r="X46" s="75">
        <f t="shared" si="39"/>
        <v>-2.5841867712372846E-7</v>
      </c>
      <c r="Y46">
        <f t="shared" si="40"/>
        <v>-5.6317716678441765E-3</v>
      </c>
      <c r="Z46">
        <f t="shared" si="41"/>
        <v>-8.3237944815326011E-4</v>
      </c>
      <c r="AA46" s="75">
        <f t="shared" si="25"/>
        <v>0</v>
      </c>
      <c r="AB46" s="7">
        <f t="shared" si="42"/>
        <v>34.179336399594874</v>
      </c>
      <c r="AD46" s="7">
        <f t="shared" si="8"/>
        <v>34.599902663211715</v>
      </c>
      <c r="AE46">
        <f t="shared" si="9"/>
        <v>-4.8059635723816108E-3</v>
      </c>
      <c r="AF46">
        <f t="shared" si="43"/>
        <v>-5.580943209999259E-3</v>
      </c>
      <c r="AG46">
        <f t="shared" si="44"/>
        <v>-8.3531493403362083E-4</v>
      </c>
      <c r="AH46" s="75">
        <f t="shared" si="45"/>
        <v>-6.5038077841084174E-6</v>
      </c>
      <c r="AI46" s="7">
        <f t="shared" si="46"/>
        <v>33.574802571763541</v>
      </c>
      <c r="AJ46" s="7">
        <f t="shared" si="28"/>
        <v>33.674705234975256</v>
      </c>
      <c r="AK46" s="75">
        <f t="shared" si="47"/>
        <v>-6.5038077841084174E-6</v>
      </c>
      <c r="AL46">
        <f t="shared" si="48"/>
        <v>-4.7868787897541488E-3</v>
      </c>
      <c r="AM46">
        <f t="shared" si="49"/>
        <v>-8.8184527893336211E-4</v>
      </c>
      <c r="AN46" s="75">
        <f t="shared" si="32"/>
        <v>-2.19824158875781E-14</v>
      </c>
      <c r="AO46" s="7">
        <f t="shared" si="50"/>
        <v>33.573443727678573</v>
      </c>
    </row>
    <row r="47" spans="2:41" x14ac:dyDescent="0.25">
      <c r="B47">
        <v>2.72</v>
      </c>
      <c r="C47" s="7">
        <f t="shared" si="12"/>
        <v>34.666666666666671</v>
      </c>
      <c r="D47" s="7">
        <f t="shared" si="0"/>
        <v>35.176666666666669</v>
      </c>
      <c r="E47">
        <f t="shared" si="1"/>
        <v>-2.3151448221596649E-3</v>
      </c>
      <c r="F47">
        <f t="shared" si="51"/>
        <v>-6.0548234363818759E-3</v>
      </c>
      <c r="G47">
        <f t="shared" si="52"/>
        <v>-8.081474988432041E-4</v>
      </c>
      <c r="H47" s="75">
        <f t="shared" si="34"/>
        <v>-4.6751328675043169E-7</v>
      </c>
      <c r="I47" s="7">
        <f t="shared" si="13"/>
        <v>34.27401386489057</v>
      </c>
      <c r="J47" s="7">
        <f t="shared" si="14"/>
        <v>34.784013864890568</v>
      </c>
      <c r="K47" s="75">
        <f t="shared" si="15"/>
        <v>-4.6751328675043169E-7</v>
      </c>
      <c r="L47">
        <f t="shared" si="16"/>
        <v>-5.7339200339687757E-3</v>
      </c>
      <c r="M47">
        <f t="shared" si="17"/>
        <v>-8.2649572008533132E-4</v>
      </c>
      <c r="N47" s="75">
        <f t="shared" si="18"/>
        <v>0</v>
      </c>
      <c r="O47" s="7">
        <f t="shared" si="19"/>
        <v>34.273932329739878</v>
      </c>
      <c r="Q47" s="7">
        <f t="shared" si="4"/>
        <v>35.162983387405099</v>
      </c>
      <c r="R47">
        <f t="shared" si="5"/>
        <v>-2.4203239557760714E-3</v>
      </c>
      <c r="S47">
        <f t="shared" si="35"/>
        <v>-6.0437610253324184E-3</v>
      </c>
      <c r="T47">
        <f t="shared" si="36"/>
        <v>-8.087765842287346E-4</v>
      </c>
      <c r="U47" s="75">
        <f t="shared" si="37"/>
        <v>-5.4020454243186578E-7</v>
      </c>
      <c r="V47" s="7">
        <f t="shared" si="38"/>
        <v>34.254852828648779</v>
      </c>
      <c r="W47" s="7">
        <f t="shared" si="21"/>
        <v>34.751169549387207</v>
      </c>
      <c r="X47" s="75">
        <f t="shared" si="39"/>
        <v>-5.4020454243186578E-7</v>
      </c>
      <c r="Y47">
        <f t="shared" si="40"/>
        <v>-5.7067486916185413E-3</v>
      </c>
      <c r="Z47">
        <f t="shared" si="41"/>
        <v>-8.280587474379993E-4</v>
      </c>
      <c r="AA47" s="75">
        <f t="shared" si="25"/>
        <v>0</v>
      </c>
      <c r="AB47" s="7">
        <f t="shared" si="42"/>
        <v>34.254758167348335</v>
      </c>
      <c r="AD47" s="7">
        <f t="shared" si="8"/>
        <v>34.776885499343408</v>
      </c>
      <c r="AE47">
        <f t="shared" si="9"/>
        <v>-5.4510025605130075E-3</v>
      </c>
      <c r="AF47">
        <f t="shared" si="43"/>
        <v>-5.7280272627340915E-3</v>
      </c>
      <c r="AG47">
        <f t="shared" si="44"/>
        <v>-8.268345754681931E-4</v>
      </c>
      <c r="AH47" s="75">
        <f t="shared" si="45"/>
        <v>-8.802421716636033E-6</v>
      </c>
      <c r="AI47" s="7">
        <f t="shared" si="46"/>
        <v>33.638772587446105</v>
      </c>
      <c r="AJ47" s="7">
        <f t="shared" si="28"/>
        <v>33.748991420122842</v>
      </c>
      <c r="AK47" s="75">
        <f t="shared" si="47"/>
        <v>-8.802421716636033E-6</v>
      </c>
      <c r="AL47">
        <f t="shared" si="48"/>
        <v>-4.8522435172442258E-3</v>
      </c>
      <c r="AM47">
        <f t="shared" si="49"/>
        <v>-8.7796742529550758E-4</v>
      </c>
      <c r="AN47" s="75">
        <f t="shared" si="32"/>
        <v>-5.1736392947532295E-14</v>
      </c>
      <c r="AO47" s="7">
        <f t="shared" si="50"/>
        <v>33.63695819646879</v>
      </c>
    </row>
    <row r="48" spans="2:41" x14ac:dyDescent="0.25">
      <c r="B48">
        <v>2.8000000000000003</v>
      </c>
      <c r="C48" s="7">
        <f t="shared" si="12"/>
        <v>34.833333333333336</v>
      </c>
      <c r="D48" s="7">
        <f t="shared" si="0"/>
        <v>35.358333333333334</v>
      </c>
      <c r="E48">
        <f t="shared" si="1"/>
        <v>-2.9111528535517017E-3</v>
      </c>
      <c r="F48">
        <f t="shared" si="51"/>
        <v>-6.2008825895795913E-3</v>
      </c>
      <c r="G48">
        <f t="shared" si="52"/>
        <v>-7.9986451183907791E-4</v>
      </c>
      <c r="H48" s="75">
        <f t="shared" si="34"/>
        <v>-8.6716464786640302E-7</v>
      </c>
      <c r="I48" s="7">
        <f t="shared" si="13"/>
        <v>34.348711984585783</v>
      </c>
      <c r="J48" s="7">
        <f t="shared" si="14"/>
        <v>34.873711984585782</v>
      </c>
      <c r="K48" s="75">
        <f t="shared" si="15"/>
        <v>-8.6716464786640302E-7</v>
      </c>
      <c r="L48">
        <f t="shared" si="16"/>
        <v>-5.8078644642545404E-3</v>
      </c>
      <c r="M48">
        <f t="shared" si="17"/>
        <v>-8.2224955488275654E-4</v>
      </c>
      <c r="N48" s="75">
        <f t="shared" si="18"/>
        <v>0</v>
      </c>
      <c r="O48" s="7">
        <f t="shared" si="19"/>
        <v>34.348562674315438</v>
      </c>
      <c r="Q48" s="7">
        <f t="shared" si="4"/>
        <v>35.344489740964335</v>
      </c>
      <c r="R48">
        <f t="shared" si="5"/>
        <v>-3.018868364250471E-3</v>
      </c>
      <c r="S48">
        <f t="shared" si="35"/>
        <v>-6.1898052542983459E-3</v>
      </c>
      <c r="T48">
        <f t="shared" si="36"/>
        <v>-8.0049121019279336E-4</v>
      </c>
      <c r="U48" s="75">
        <f t="shared" si="37"/>
        <v>-9.7784645292087191E-7</v>
      </c>
      <c r="V48" s="7">
        <f t="shared" si="38"/>
        <v>34.329182061511766</v>
      </c>
      <c r="W48" s="7">
        <f t="shared" si="21"/>
        <v>34.840338469142765</v>
      </c>
      <c r="X48" s="75">
        <f t="shared" si="39"/>
        <v>-9.7784645292087191E-7</v>
      </c>
      <c r="Y48">
        <f t="shared" si="40"/>
        <v>-5.7803968199948777E-3</v>
      </c>
      <c r="Z48">
        <f t="shared" si="41"/>
        <v>-8.2382557293798268E-4</v>
      </c>
      <c r="AA48" s="75">
        <f t="shared" si="25"/>
        <v>0</v>
      </c>
      <c r="AB48" s="7">
        <f t="shared" si="42"/>
        <v>34.32901289349936</v>
      </c>
      <c r="AD48" s="7">
        <f t="shared" si="8"/>
        <v>34.953868335475093</v>
      </c>
      <c r="AE48">
        <f t="shared" si="9"/>
        <v>-6.121940760830169E-3</v>
      </c>
      <c r="AF48">
        <f t="shared" si="43"/>
        <v>-5.8736218464034116E-3</v>
      </c>
      <c r="AG48">
        <f t="shared" si="44"/>
        <v>-8.1848270696981747E-4</v>
      </c>
      <c r="AH48" s="75">
        <f t="shared" si="45"/>
        <v>-1.1588357706981967E-5</v>
      </c>
      <c r="AI48" s="7">
        <f t="shared" si="46"/>
        <v>33.701856339844326</v>
      </c>
      <c r="AJ48" s="7">
        <f t="shared" si="28"/>
        <v>33.822391341986084</v>
      </c>
      <c r="AK48" s="75">
        <f t="shared" si="47"/>
        <v>-1.1588357706981967E-5</v>
      </c>
      <c r="AL48">
        <f t="shared" si="48"/>
        <v>-4.9165464067522403E-3</v>
      </c>
      <c r="AM48">
        <f t="shared" si="49"/>
        <v>-8.7416090467958192E-4</v>
      </c>
      <c r="AN48" s="75">
        <f t="shared" si="32"/>
        <v>-1.127986593019159E-13</v>
      </c>
      <c r="AO48" s="7">
        <f t="shared" si="50"/>
        <v>33.699498833991925</v>
      </c>
    </row>
    <row r="49" spans="2:41" x14ac:dyDescent="0.25">
      <c r="B49">
        <v>2.88</v>
      </c>
      <c r="C49" s="7">
        <f t="shared" si="12"/>
        <v>35</v>
      </c>
      <c r="D49" s="7">
        <f t="shared" si="0"/>
        <v>35.54</v>
      </c>
      <c r="E49">
        <f t="shared" si="1"/>
        <v>-3.5335589841067883E-3</v>
      </c>
      <c r="F49">
        <f t="shared" si="51"/>
        <v>-6.3454485475326478E-3</v>
      </c>
      <c r="G49">
        <f t="shared" si="52"/>
        <v>-7.9170821815298278E-4</v>
      </c>
      <c r="H49" s="75">
        <f t="shared" si="34"/>
        <v>-1.4492002609056698E-6</v>
      </c>
      <c r="I49" s="7">
        <f t="shared" si="13"/>
        <v>34.422316196132073</v>
      </c>
      <c r="J49" s="7">
        <f t="shared" si="14"/>
        <v>34.962316196132072</v>
      </c>
      <c r="K49" s="75">
        <f t="shared" si="15"/>
        <v>-1.4492002609056698E-6</v>
      </c>
      <c r="L49">
        <f t="shared" si="16"/>
        <v>-5.8805346035454079E-3</v>
      </c>
      <c r="M49">
        <f t="shared" si="17"/>
        <v>-8.1808721872690324E-4</v>
      </c>
      <c r="N49" s="75">
        <f t="shared" si="18"/>
        <v>0</v>
      </c>
      <c r="O49" s="7">
        <f t="shared" si="19"/>
        <v>34.422069751684106</v>
      </c>
      <c r="Q49" s="7">
        <f t="shared" si="4"/>
        <v>35.52599609452357</v>
      </c>
      <c r="R49">
        <f t="shared" si="5"/>
        <v>-3.6437849482755524E-3</v>
      </c>
      <c r="S49">
        <f t="shared" si="35"/>
        <v>-6.334357170120538E-3</v>
      </c>
      <c r="T49">
        <f t="shared" si="36"/>
        <v>-7.9233250422240155E-4</v>
      </c>
      <c r="U49" s="75">
        <f t="shared" si="37"/>
        <v>-1.6067043093759281E-6</v>
      </c>
      <c r="V49" s="7">
        <f t="shared" si="38"/>
        <v>34.40242486367022</v>
      </c>
      <c r="W49" s="7">
        <f t="shared" si="21"/>
        <v>34.92842095819379</v>
      </c>
      <c r="X49" s="75">
        <f t="shared" si="39"/>
        <v>-1.6067043093759281E-6</v>
      </c>
      <c r="Y49">
        <f t="shared" si="40"/>
        <v>-5.852778433583259E-3</v>
      </c>
      <c r="Z49">
        <f t="shared" si="41"/>
        <v>-8.1967576551410476E-4</v>
      </c>
      <c r="AA49" s="75">
        <f t="shared" si="25"/>
        <v>0</v>
      </c>
      <c r="AB49" s="7">
        <f t="shared" si="42"/>
        <v>34.402150338465709</v>
      </c>
      <c r="AD49" s="7">
        <f t="shared" si="8"/>
        <v>35.130851171606778</v>
      </c>
      <c r="AE49">
        <f t="shared" si="9"/>
        <v>-6.8185165616470034E-3</v>
      </c>
      <c r="AF49">
        <f t="shared" si="43"/>
        <v>-6.0177494720296508E-3</v>
      </c>
      <c r="AG49">
        <f t="shared" si="44"/>
        <v>-8.1025674583329787E-4</v>
      </c>
      <c r="AH49" s="75">
        <f t="shared" si="45"/>
        <v>-1.490716493957045E-5</v>
      </c>
      <c r="AI49" s="7">
        <f t="shared" si="46"/>
        <v>33.76410142727687</v>
      </c>
      <c r="AJ49" s="7">
        <f t="shared" si="28"/>
        <v>33.894952598883648</v>
      </c>
      <c r="AK49" s="75">
        <f t="shared" si="47"/>
        <v>-1.490716493957045E-5</v>
      </c>
      <c r="AL49">
        <f t="shared" si="48"/>
        <v>-4.9798408313036432E-3</v>
      </c>
      <c r="AM49">
        <f t="shared" si="49"/>
        <v>-8.7042215808726944E-4</v>
      </c>
      <c r="AN49" s="75">
        <f t="shared" si="32"/>
        <v>-2.298161660974074E-13</v>
      </c>
      <c r="AO49" s="7">
        <f t="shared" si="50"/>
        <v>33.761107141427694</v>
      </c>
    </row>
    <row r="50" spans="2:41" x14ac:dyDescent="0.25">
      <c r="B50">
        <v>2.96</v>
      </c>
      <c r="C50" s="7">
        <f t="shared" si="12"/>
        <v>35.166666666666664</v>
      </c>
      <c r="D50" s="7">
        <f t="shared" si="0"/>
        <v>35.721666666666664</v>
      </c>
      <c r="E50">
        <f t="shared" si="1"/>
        <v>-4.1820940264076789E-3</v>
      </c>
      <c r="F50">
        <f t="shared" si="51"/>
        <v>-6.4885440916923123E-3</v>
      </c>
      <c r="G50">
        <f t="shared" si="52"/>
        <v>-7.8367604709552591E-4</v>
      </c>
      <c r="H50" s="75">
        <f t="shared" si="34"/>
        <v>-2.2488306874457464E-6</v>
      </c>
      <c r="I50" s="7">
        <f t="shared" si="13"/>
        <v>34.494877975271997</v>
      </c>
      <c r="J50" s="7">
        <f t="shared" si="14"/>
        <v>35.049877975271997</v>
      </c>
      <c r="K50" s="75">
        <f t="shared" si="15"/>
        <v>-2.2488306874457464E-6</v>
      </c>
      <c r="L50">
        <f t="shared" si="16"/>
        <v>-5.9519888215619939E-3</v>
      </c>
      <c r="M50">
        <f t="shared" si="17"/>
        <v>-8.1400482533081488E-4</v>
      </c>
      <c r="N50" s="75">
        <f t="shared" si="18"/>
        <v>0</v>
      </c>
      <c r="O50" s="7">
        <f t="shared" si="19"/>
        <v>34.49450013706376</v>
      </c>
      <c r="Q50" s="7">
        <f t="shared" si="4"/>
        <v>35.707502448082813</v>
      </c>
      <c r="R50">
        <f t="shared" si="5"/>
        <v>-4.2948049158493262E-3</v>
      </c>
      <c r="S50">
        <f t="shared" si="35"/>
        <v>-6.4774395297239017E-3</v>
      </c>
      <c r="T50">
        <f t="shared" si="36"/>
        <v>-7.842978973868109E-4</v>
      </c>
      <c r="U50" s="75">
        <f t="shared" si="37"/>
        <v>-2.462341124997991E-6</v>
      </c>
      <c r="V50" s="7">
        <f t="shared" si="38"/>
        <v>34.47463249885341</v>
      </c>
      <c r="W50" s="7">
        <f t="shared" si="21"/>
        <v>35.015468280269559</v>
      </c>
      <c r="X50" s="75">
        <f t="shared" si="39"/>
        <v>-2.462341124997991E-6</v>
      </c>
      <c r="Y50">
        <f t="shared" si="40"/>
        <v>-5.9239516387056997E-3</v>
      </c>
      <c r="Z50">
        <f t="shared" si="41"/>
        <v>-8.1560545623421551E-4</v>
      </c>
      <c r="AA50" s="75">
        <f t="shared" si="25"/>
        <v>0</v>
      </c>
      <c r="AB50" s="7">
        <f t="shared" si="42"/>
        <v>34.47421682841312</v>
      </c>
      <c r="AD50" s="7">
        <f t="shared" si="8"/>
        <v>35.307834007738464</v>
      </c>
      <c r="AE50">
        <f t="shared" si="9"/>
        <v>-7.5404722952328029E-3</v>
      </c>
      <c r="AF50">
        <f t="shared" si="43"/>
        <v>-6.1604321992833264E-3</v>
      </c>
      <c r="AG50">
        <f t="shared" si="44"/>
        <v>-8.0215417392069113E-4</v>
      </c>
      <c r="AH50" s="75">
        <f t="shared" si="45"/>
        <v>-1.8803532727762473E-5</v>
      </c>
      <c r="AI50" s="7">
        <f t="shared" si="46"/>
        <v>33.825552201449192</v>
      </c>
      <c r="AJ50" s="7">
        <f t="shared" si="28"/>
        <v>33.966719542520991</v>
      </c>
      <c r="AK50" s="75">
        <f t="shared" si="47"/>
        <v>-1.8803532727762473E-5</v>
      </c>
      <c r="AL50">
        <f t="shared" si="48"/>
        <v>-5.0421763840636756E-3</v>
      </c>
      <c r="AM50">
        <f t="shared" si="49"/>
        <v>-8.6674788243153709E-4</v>
      </c>
      <c r="AN50" s="75">
        <f t="shared" si="32"/>
        <v>-4.4164671919588727E-13</v>
      </c>
      <c r="AO50" s="7">
        <f t="shared" si="50"/>
        <v>33.821821756057489</v>
      </c>
    </row>
    <row r="51" spans="2:41" x14ac:dyDescent="0.25">
      <c r="B51">
        <v>3.04</v>
      </c>
      <c r="C51" s="7">
        <f t="shared" si="12"/>
        <v>35.333333333333336</v>
      </c>
      <c r="D51" s="7">
        <f t="shared" si="0"/>
        <v>35.903333333333336</v>
      </c>
      <c r="E51">
        <f t="shared" si="1"/>
        <v>-4.85649288960599E-3</v>
      </c>
      <c r="F51">
        <f t="shared" si="51"/>
        <v>-6.6301915424239431E-3</v>
      </c>
      <c r="G51">
        <f t="shared" si="52"/>
        <v>-7.7576549284929098E-4</v>
      </c>
      <c r="H51" s="75">
        <f t="shared" si="34"/>
        <v>-3.301347993422965E-6</v>
      </c>
      <c r="I51" s="7">
        <f t="shared" si="13"/>
        <v>34.566445486675747</v>
      </c>
      <c r="J51" s="7">
        <f t="shared" si="14"/>
        <v>35.136445486675747</v>
      </c>
      <c r="K51" s="75">
        <f t="shared" si="15"/>
        <v>-3.301347993422965E-6</v>
      </c>
      <c r="L51">
        <f t="shared" si="16"/>
        <v>-6.0222815818493265E-3</v>
      </c>
      <c r="M51">
        <f t="shared" si="17"/>
        <v>-8.0999875327835758E-4</v>
      </c>
      <c r="N51" s="75">
        <f t="shared" si="18"/>
        <v>0</v>
      </c>
      <c r="O51" s="7">
        <f t="shared" si="19"/>
        <v>34.565897277551954</v>
      </c>
      <c r="Q51" s="7">
        <f t="shared" si="4"/>
        <v>35.889008801642056</v>
      </c>
      <c r="R51">
        <f t="shared" si="5"/>
        <v>-4.9716635635406181E-3</v>
      </c>
      <c r="S51">
        <f t="shared" si="35"/>
        <v>-6.6190746296665784E-3</v>
      </c>
      <c r="T51">
        <f t="shared" si="36"/>
        <v>-7.7638488555159557E-4</v>
      </c>
      <c r="U51" s="75">
        <f t="shared" si="37"/>
        <v>-3.5803720208615886E-6</v>
      </c>
      <c r="V51" s="7">
        <f t="shared" si="38"/>
        <v>34.545852931206142</v>
      </c>
      <c r="W51" s="7">
        <f t="shared" si="21"/>
        <v>35.101528399514862</v>
      </c>
      <c r="X51" s="75">
        <f t="shared" si="39"/>
        <v>-3.5803720208615886E-6</v>
      </c>
      <c r="Y51">
        <f t="shared" si="40"/>
        <v>-5.993970650595995E-3</v>
      </c>
      <c r="Z51">
        <f t="shared" si="41"/>
        <v>-8.1161104000495329E-4</v>
      </c>
      <c r="AA51" s="75">
        <f t="shared" si="25"/>
        <v>-1.7763568394002505E-15</v>
      </c>
      <c r="AB51" s="7">
        <f t="shared" si="42"/>
        <v>34.545255578126948</v>
      </c>
      <c r="AD51" s="7">
        <f t="shared" si="8"/>
        <v>35.484816843870156</v>
      </c>
      <c r="AE51">
        <f t="shared" si="9"/>
        <v>-8.287554158932231E-3</v>
      </c>
      <c r="AF51">
        <f t="shared" si="43"/>
        <v>-6.3016916477387844E-3</v>
      </c>
      <c r="AG51">
        <f t="shared" si="44"/>
        <v>-7.9417253573394234E-4</v>
      </c>
      <c r="AH51" s="75">
        <f t="shared" si="45"/>
        <v>-2.3321185964819691E-5</v>
      </c>
      <c r="AI51" s="7">
        <f t="shared" si="46"/>
        <v>33.88625004428004</v>
      </c>
      <c r="AJ51" s="7">
        <f t="shared" si="28"/>
        <v>34.03773355481686</v>
      </c>
      <c r="AK51" s="75">
        <f t="shared" si="47"/>
        <v>-2.3321185964819691E-5</v>
      </c>
      <c r="AL51">
        <f t="shared" si="48"/>
        <v>-5.103599212513233E-3</v>
      </c>
      <c r="AM51">
        <f t="shared" si="49"/>
        <v>-8.6313500753104101E-4</v>
      </c>
      <c r="AN51" s="75">
        <f t="shared" si="32"/>
        <v>-8.0757622811233887E-13</v>
      </c>
      <c r="AO51" s="7">
        <f t="shared" si="50"/>
        <v>33.881678720502457</v>
      </c>
    </row>
    <row r="52" spans="2:41" x14ac:dyDescent="0.25">
      <c r="B52">
        <v>3.12</v>
      </c>
      <c r="C52" s="7">
        <f t="shared" si="12"/>
        <v>35.5</v>
      </c>
      <c r="D52" s="7">
        <f t="shared" si="0"/>
        <v>36.085000000000001</v>
      </c>
      <c r="E52">
        <f t="shared" si="1"/>
        <v>-5.5564944967201324E-3</v>
      </c>
      <c r="F52">
        <f t="shared" si="51"/>
        <v>-6.770412770613448E-3</v>
      </c>
      <c r="G52">
        <f t="shared" si="52"/>
        <v>-7.6797411251423614E-4</v>
      </c>
      <c r="H52" s="75">
        <f t="shared" si="34"/>
        <v>-4.6419898074301358E-6</v>
      </c>
      <c r="I52" s="7">
        <f t="shared" si="13"/>
        <v>34.637063865280517</v>
      </c>
      <c r="J52" s="7">
        <f t="shared" si="14"/>
        <v>35.222063865280518</v>
      </c>
      <c r="K52" s="75">
        <f t="shared" si="15"/>
        <v>-4.6419898074301358E-6</v>
      </c>
      <c r="L52">
        <f t="shared" si="16"/>
        <v>-6.0914637827477192E-3</v>
      </c>
      <c r="M52">
        <f t="shared" si="17"/>
        <v>-8.0606562257494842E-4</v>
      </c>
      <c r="N52" s="75">
        <f t="shared" si="18"/>
        <v>-3.3306690738754696E-15</v>
      </c>
      <c r="O52" s="7">
        <f t="shared" si="19"/>
        <v>34.63630177852356</v>
      </c>
      <c r="Q52" s="7">
        <f t="shared" si="4"/>
        <v>36.070515155201292</v>
      </c>
      <c r="R52">
        <f t="shared" si="5"/>
        <v>-5.6741001939819569E-3</v>
      </c>
      <c r="S52">
        <f t="shared" si="35"/>
        <v>-6.7592843177227864E-3</v>
      </c>
      <c r="T52">
        <f t="shared" si="36"/>
        <v>-7.6859102742726434E-4</v>
      </c>
      <c r="U52" s="75">
        <f t="shared" si="37"/>
        <v>-4.9963293367039086E-6</v>
      </c>
      <c r="V52" s="7">
        <f t="shared" si="38"/>
        <v>34.616131105427698</v>
      </c>
      <c r="W52" s="7">
        <f t="shared" si="21"/>
        <v>35.18664626062899</v>
      </c>
      <c r="X52" s="75">
        <f t="shared" si="39"/>
        <v>-4.9963293367039086E-6</v>
      </c>
      <c r="Y52">
        <f t="shared" si="40"/>
        <v>-6.0628861329010408E-3</v>
      </c>
      <c r="Z52">
        <f t="shared" si="41"/>
        <v>-8.0768915222216423E-4</v>
      </c>
      <c r="AA52" s="75">
        <f t="shared" si="25"/>
        <v>-4.2188474935755949E-15</v>
      </c>
      <c r="AB52" s="7">
        <f t="shared" si="42"/>
        <v>34.615306975877154</v>
      </c>
      <c r="AD52" s="7">
        <f t="shared" si="8"/>
        <v>35.661799680001842</v>
      </c>
      <c r="AE52">
        <f t="shared" si="9"/>
        <v>-9.0595121382455179E-3</v>
      </c>
      <c r="AF52">
        <f t="shared" si="43"/>
        <v>-6.4415490077947522E-3</v>
      </c>
      <c r="AG52">
        <f t="shared" si="44"/>
        <v>-7.8630943655430942E-4</v>
      </c>
      <c r="AH52" s="75">
        <f t="shared" si="45"/>
        <v>-2.8502796905360839E-5</v>
      </c>
      <c r="AI52" s="7">
        <f t="shared" si="46"/>
        <v>33.946233614286079</v>
      </c>
      <c r="AJ52" s="7">
        <f t="shared" si="28"/>
        <v>34.108033294287921</v>
      </c>
      <c r="AK52" s="75">
        <f t="shared" si="47"/>
        <v>-2.8502796905360839E-5</v>
      </c>
      <c r="AL52">
        <f t="shared" si="48"/>
        <v>-5.1641523154861771E-3</v>
      </c>
      <c r="AM52">
        <f t="shared" si="49"/>
        <v>-8.5958067567951709E-4</v>
      </c>
      <c r="AN52" s="75">
        <f t="shared" si="32"/>
        <v>-1.4144241333724494E-12</v>
      </c>
      <c r="AO52" s="7">
        <f t="shared" si="50"/>
        <v>33.940711720268389</v>
      </c>
    </row>
    <row r="53" spans="2:41" x14ac:dyDescent="0.25">
      <c r="B53">
        <v>3.2</v>
      </c>
      <c r="C53" s="7">
        <f t="shared" si="12"/>
        <v>35.666666666666664</v>
      </c>
      <c r="D53" s="7">
        <f t="shared" si="0"/>
        <v>36.266666666666666</v>
      </c>
      <c r="E53">
        <f t="shared" si="1"/>
        <v>-6.2818417040058083E-3</v>
      </c>
      <c r="F53">
        <f t="shared" si="51"/>
        <v>-6.9092292089249496E-3</v>
      </c>
      <c r="G53">
        <f t="shared" si="52"/>
        <v>-7.6029952422145333E-4</v>
      </c>
      <c r="H53" s="75">
        <f t="shared" si="34"/>
        <v>-6.3058181078989861E-6</v>
      </c>
      <c r="I53" s="7">
        <f t="shared" si="13"/>
        <v>34.706775466493134</v>
      </c>
      <c r="J53" s="7">
        <f t="shared" si="14"/>
        <v>35.306775466493136</v>
      </c>
      <c r="K53" s="75">
        <f t="shared" si="15"/>
        <v>-6.3058181078989861E-6</v>
      </c>
      <c r="L53">
        <f t="shared" si="16"/>
        <v>-6.159583060547643E-3</v>
      </c>
      <c r="M53">
        <f t="shared" si="17"/>
        <v>-8.0220227381062588E-4</v>
      </c>
      <c r="N53" s="75">
        <f t="shared" si="18"/>
        <v>-8.2156503822261584E-15</v>
      </c>
      <c r="O53" s="7">
        <f t="shared" si="19"/>
        <v>34.705751657174496</v>
      </c>
      <c r="Q53" s="7">
        <f t="shared" si="4"/>
        <v>36.252021508760535</v>
      </c>
      <c r="R53">
        <f t="shared" si="5"/>
        <v>-6.4018580354403554E-3</v>
      </c>
      <c r="S53">
        <f t="shared" si="35"/>
        <v>-6.8980900041176497E-3</v>
      </c>
      <c r="T53">
        <f t="shared" si="36"/>
        <v>-7.6091394268609249E-4</v>
      </c>
      <c r="U53" s="75">
        <f t="shared" si="37"/>
        <v>-6.7455424859197421E-6</v>
      </c>
      <c r="V53" s="7">
        <f t="shared" si="38"/>
        <v>34.685509195932198</v>
      </c>
      <c r="W53" s="7">
        <f t="shared" si="21"/>
        <v>35.270864038026069</v>
      </c>
      <c r="X53" s="75">
        <f t="shared" si="39"/>
        <v>-6.7455424859197421E-6</v>
      </c>
      <c r="Y53">
        <f t="shared" si="40"/>
        <v>-6.1307454995513586E-3</v>
      </c>
      <c r="Z53">
        <f t="shared" si="41"/>
        <v>-8.0383664802119816E-4</v>
      </c>
      <c r="AA53" s="75">
        <f t="shared" si="25"/>
        <v>-9.9920072216264089E-15</v>
      </c>
      <c r="AB53" s="7">
        <f t="shared" si="42"/>
        <v>34.684408835604692</v>
      </c>
      <c r="AD53" s="7">
        <f t="shared" si="8"/>
        <v>35.838782516133527</v>
      </c>
      <c r="AE53">
        <f t="shared" si="9"/>
        <v>-9.8560999318164644E-3</v>
      </c>
      <c r="AF53">
        <f t="shared" si="43"/>
        <v>-6.5800250512713723E-3</v>
      </c>
      <c r="AG53">
        <f t="shared" si="44"/>
        <v>-7.7856254064594197E-4</v>
      </c>
      <c r="AH53" s="75">
        <f t="shared" si="45"/>
        <v>-3.4389911607757284E-5</v>
      </c>
      <c r="AI53" s="7">
        <f t="shared" si="46"/>
        <v>34.005539066714945</v>
      </c>
      <c r="AJ53" s="7">
        <f t="shared" si="28"/>
        <v>34.177654916181808</v>
      </c>
      <c r="AK53" s="75">
        <f t="shared" si="47"/>
        <v>-3.4389911607757284E-5</v>
      </c>
      <c r="AL53">
        <f t="shared" si="48"/>
        <v>-5.2238758081495119E-3</v>
      </c>
      <c r="AM53">
        <f t="shared" si="49"/>
        <v>-8.5608222343795692E-4</v>
      </c>
      <c r="AN53" s="75">
        <f t="shared" si="32"/>
        <v>-2.3863133691293115E-12</v>
      </c>
      <c r="AO53" s="7">
        <f t="shared" si="50"/>
        <v>33.998952294042532</v>
      </c>
    </row>
    <row r="54" spans="2:41" x14ac:dyDescent="0.25">
      <c r="B54">
        <v>3.2800000000000002</v>
      </c>
      <c r="C54" s="7">
        <f t="shared" si="12"/>
        <v>35.833333333333336</v>
      </c>
      <c r="D54" s="7">
        <f t="shared" si="0"/>
        <v>36.448333333333338</v>
      </c>
      <c r="E54">
        <f t="shared" si="1"/>
        <v>-7.0322812223431175E-3</v>
      </c>
      <c r="F54">
        <f t="shared" si="51"/>
        <v>-7.0466618627217578E-3</v>
      </c>
      <c r="G54">
        <f t="shared" si="52"/>
        <v>-7.5273940531257657E-4</v>
      </c>
      <c r="H54" s="75">
        <f t="shared" si="34"/>
        <v>-8.3276114917207877E-6</v>
      </c>
      <c r="I54" s="7">
        <f t="shared" si="13"/>
        <v>34.775620089500208</v>
      </c>
      <c r="J54" s="7">
        <f t="shared" si="14"/>
        <v>35.39062008950021</v>
      </c>
      <c r="K54" s="75">
        <f t="shared" si="15"/>
        <v>-8.3276114917207877E-6</v>
      </c>
      <c r="L54">
        <f t="shared" si="16"/>
        <v>-6.226684059942332E-3</v>
      </c>
      <c r="M54">
        <f t="shared" si="17"/>
        <v>-7.9840574958251202E-4</v>
      </c>
      <c r="N54" s="75">
        <f t="shared" si="18"/>
        <v>-1.8207657603852567E-14</v>
      </c>
      <c r="O54" s="7">
        <f t="shared" si="19"/>
        <v>34.77428256770348</v>
      </c>
      <c r="Q54" s="7">
        <f t="shared" si="4"/>
        <v>36.433527862319778</v>
      </c>
      <c r="R54">
        <f t="shared" si="5"/>
        <v>-7.1546841633929326E-3</v>
      </c>
      <c r="S54">
        <f t="shared" si="35"/>
        <v>-7.0355126724262057E-3</v>
      </c>
      <c r="T54">
        <f t="shared" si="36"/>
        <v>-7.5335131014446434E-4</v>
      </c>
      <c r="U54" s="75">
        <f t="shared" si="37"/>
        <v>-8.8630313141990769E-6</v>
      </c>
      <c r="V54" s="7">
        <f t="shared" si="38"/>
        <v>34.754026829254187</v>
      </c>
      <c r="W54" s="7">
        <f t="shared" si="21"/>
        <v>35.354221358240629</v>
      </c>
      <c r="X54" s="75">
        <f t="shared" si="39"/>
        <v>-8.8630313141990769E-6</v>
      </c>
      <c r="Y54">
        <f t="shared" si="40"/>
        <v>-6.1975931840900327E-3</v>
      </c>
      <c r="Z54">
        <f t="shared" si="41"/>
        <v>-8.0005058377580988E-4</v>
      </c>
      <c r="AA54" s="75">
        <f t="shared" si="25"/>
        <v>-2.2204460492503131E-14</v>
      </c>
      <c r="AB54" s="7">
        <f t="shared" si="42"/>
        <v>34.752596620897329</v>
      </c>
      <c r="AD54" s="7">
        <f t="shared" si="8"/>
        <v>36.01576535226522</v>
      </c>
      <c r="AE54">
        <f t="shared" si="9"/>
        <v>-1.0677074878263193E-2</v>
      </c>
      <c r="AF54">
        <f t="shared" si="43"/>
        <v>-6.7171401416947392E-3</v>
      </c>
      <c r="AG54">
        <f t="shared" si="44"/>
        <v>-7.7092956952110384E-4</v>
      </c>
      <c r="AH54" s="75">
        <f t="shared" si="45"/>
        <v>-4.1022889546882269E-5</v>
      </c>
      <c r="AI54" s="7">
        <f t="shared" si="46"/>
        <v>34.064200250937944</v>
      </c>
      <c r="AJ54" s="7">
        <f t="shared" si="28"/>
        <v>34.246632269869828</v>
      </c>
      <c r="AK54" s="75">
        <f t="shared" si="47"/>
        <v>-4.1022889546882269E-5</v>
      </c>
      <c r="AL54">
        <f t="shared" si="48"/>
        <v>-5.2828071591907791E-3</v>
      </c>
      <c r="AM54">
        <f t="shared" si="49"/>
        <v>-8.5263716535389025E-4</v>
      </c>
      <c r="AN54" s="75">
        <f t="shared" si="32"/>
        <v>-3.893996236570274E-12</v>
      </c>
      <c r="AO54" s="7">
        <f t="shared" si="50"/>
        <v>34.056430020466536</v>
      </c>
    </row>
    <row r="55" spans="2:41" x14ac:dyDescent="0.25">
      <c r="B55">
        <v>3.36</v>
      </c>
      <c r="C55" s="7">
        <f t="shared" si="12"/>
        <v>36</v>
      </c>
      <c r="D55" s="7">
        <f t="shared" si="0"/>
        <v>36.630000000000003</v>
      </c>
      <c r="E55">
        <f t="shared" si="1"/>
        <v>-7.8075635405785437E-3</v>
      </c>
      <c r="F55">
        <f t="shared" si="51"/>
        <v>-7.1827313206623555E-3</v>
      </c>
      <c r="G55">
        <f t="shared" si="52"/>
        <v>-7.4529149058223578E-4</v>
      </c>
      <c r="H55" s="75">
        <f t="shared" si="34"/>
        <v>-1.0741769782329769E-5</v>
      </c>
      <c r="I55" s="7">
        <f t="shared" si="13"/>
        <v>34.843635177256743</v>
      </c>
      <c r="J55" s="7">
        <f t="shared" si="14"/>
        <v>35.473635177256746</v>
      </c>
      <c r="K55" s="75">
        <f t="shared" si="15"/>
        <v>-1.0741769782329769E-5</v>
      </c>
      <c r="L55">
        <f t="shared" si="16"/>
        <v>-6.2928086760859724E-3</v>
      </c>
      <c r="M55">
        <f t="shared" si="17"/>
        <v>-7.9467327787926102E-4</v>
      </c>
      <c r="N55" s="75">
        <f t="shared" si="18"/>
        <v>-3.7081449022480228E-14</v>
      </c>
      <c r="O55" s="7">
        <f t="shared" si="19"/>
        <v>34.84192800191547</v>
      </c>
      <c r="Q55" s="7">
        <f t="shared" si="4"/>
        <v>36.615034215879014</v>
      </c>
      <c r="R55">
        <f t="shared" si="5"/>
        <v>-7.9323294240503106E-3</v>
      </c>
      <c r="S55">
        <f t="shared" si="35"/>
        <v>-7.1715728901482548E-3</v>
      </c>
      <c r="T55">
        <f t="shared" si="36"/>
        <v>-7.4590086600812813E-4</v>
      </c>
      <c r="U55" s="75">
        <f t="shared" si="37"/>
        <v>-1.138341179984792E-5</v>
      </c>
      <c r="V55" s="7">
        <f t="shared" si="38"/>
        <v>34.821721283250177</v>
      </c>
      <c r="W55" s="7">
        <f t="shared" si="21"/>
        <v>35.436755499129191</v>
      </c>
      <c r="X55" s="75">
        <f t="shared" si="39"/>
        <v>-1.138341179984792E-5</v>
      </c>
      <c r="Y55">
        <f t="shared" si="40"/>
        <v>-6.2634708807447932E-3</v>
      </c>
      <c r="Z55">
        <f t="shared" si="41"/>
        <v>-7.9632820054980225E-4</v>
      </c>
      <c r="AA55" s="75">
        <f t="shared" si="25"/>
        <v>-4.5075054799781356E-14</v>
      </c>
      <c r="AB55" s="7">
        <f t="shared" si="42"/>
        <v>34.819903644519933</v>
      </c>
      <c r="AD55" s="7">
        <f t="shared" si="8"/>
        <v>36.192748188396905</v>
      </c>
      <c r="AE55">
        <f t="shared" si="9"/>
        <v>-1.1522197884807683E-2</v>
      </c>
      <c r="AF55">
        <f t="shared" si="43"/>
        <v>-6.8529142442796953E-3</v>
      </c>
      <c r="AG55">
        <f t="shared" si="44"/>
        <v>-7.6340830026463318E-4</v>
      </c>
      <c r="AH55" s="75">
        <f t="shared" si="45"/>
        <v>-4.8440855013431872E-5</v>
      </c>
      <c r="AI55" s="7">
        <f t="shared" si="46"/>
        <v>34.122248888054081</v>
      </c>
      <c r="AJ55" s="7">
        <f t="shared" si="28"/>
        <v>34.314997076450986</v>
      </c>
      <c r="AK55" s="75">
        <f t="shared" si="47"/>
        <v>-4.8440855013431872E-5</v>
      </c>
      <c r="AL55">
        <f t="shared" si="48"/>
        <v>-5.3409814038045018E-3</v>
      </c>
      <c r="AM55">
        <f t="shared" si="49"/>
        <v>-8.4924317935856659E-4</v>
      </c>
      <c r="AN55" s="75">
        <f t="shared" si="32"/>
        <v>-6.1692873032370699E-12</v>
      </c>
      <c r="AO55" s="7">
        <f t="shared" si="50"/>
        <v>34.113172684525011</v>
      </c>
    </row>
    <row r="56" spans="2:41" x14ac:dyDescent="0.25">
      <c r="B56">
        <v>3.44</v>
      </c>
      <c r="C56" s="7">
        <f t="shared" si="12"/>
        <v>36.166666666666664</v>
      </c>
      <c r="D56" s="7">
        <f t="shared" si="0"/>
        <v>36.811666666666667</v>
      </c>
      <c r="E56">
        <f t="shared" si="1"/>
        <v>-8.6074428507605383E-3</v>
      </c>
      <c r="F56">
        <f t="shared" si="51"/>
        <v>-7.3174577649826773E-3</v>
      </c>
      <c r="G56">
        <f t="shared" si="52"/>
        <v>-7.3795357058107421E-4</v>
      </c>
      <c r="H56" s="75">
        <f t="shared" si="34"/>
        <v>-1.3582229930308998E-5</v>
      </c>
      <c r="I56" s="7">
        <f t="shared" si="13"/>
        <v>34.910855996170646</v>
      </c>
      <c r="J56" s="7">
        <f t="shared" si="14"/>
        <v>35.555855996170649</v>
      </c>
      <c r="K56" s="75">
        <f t="shared" si="15"/>
        <v>-1.3582229930308998E-5</v>
      </c>
      <c r="L56">
        <f t="shared" si="16"/>
        <v>-6.3579962719024496E-3</v>
      </c>
      <c r="M56">
        <f t="shared" si="17"/>
        <v>-7.910022571757583E-4</v>
      </c>
      <c r="N56" s="75">
        <f t="shared" si="18"/>
        <v>-7.2386541205560206E-14</v>
      </c>
      <c r="O56" s="7">
        <f t="shared" si="19"/>
        <v>34.908719468448162</v>
      </c>
      <c r="Q56" s="7">
        <f t="shared" si="4"/>
        <v>36.796540569438257</v>
      </c>
      <c r="R56">
        <f t="shared" si="5"/>
        <v>-8.7345483597738305E-3</v>
      </c>
      <c r="S56">
        <f t="shared" si="35"/>
        <v>-7.3062908189702666E-3</v>
      </c>
      <c r="T56">
        <f t="shared" si="36"/>
        <v>-7.3856040217789068E-4</v>
      </c>
      <c r="U56" s="75">
        <f t="shared" si="37"/>
        <v>-1.4340813047519774E-5</v>
      </c>
      <c r="V56" s="7">
        <f t="shared" si="38"/>
        <v>34.888627666095729</v>
      </c>
      <c r="W56" s="7">
        <f t="shared" si="21"/>
        <v>35.518501568867322</v>
      </c>
      <c r="X56" s="75">
        <f t="shared" si="39"/>
        <v>-1.4340813047519774E-5</v>
      </c>
      <c r="Y56">
        <f t="shared" si="40"/>
        <v>-6.3284177608680207E-3</v>
      </c>
      <c r="Z56">
        <f t="shared" si="41"/>
        <v>-7.9266690925102184E-4</v>
      </c>
      <c r="AA56" s="75">
        <f t="shared" si="25"/>
        <v>-8.6375351315837179E-14</v>
      </c>
      <c r="AB56" s="7">
        <f t="shared" si="42"/>
        <v>34.886361246681197</v>
      </c>
      <c r="AD56" s="7">
        <f t="shared" si="8"/>
        <v>36.369731024528591</v>
      </c>
      <c r="AE56">
        <f t="shared" si="9"/>
        <v>-1.2391233357640585E-2</v>
      </c>
      <c r="AF56">
        <f t="shared" si="43"/>
        <v>-6.98736693562119E-3</v>
      </c>
      <c r="AG56">
        <f t="shared" si="44"/>
        <v>-7.5599656391533217E-4</v>
      </c>
      <c r="AH56" s="75">
        <f t="shared" si="45"/>
        <v>-5.6681659071244894E-5</v>
      </c>
      <c r="AI56" s="7">
        <f t="shared" si="46"/>
        <v>34.179714731204371</v>
      </c>
      <c r="AJ56" s="7">
        <f t="shared" si="28"/>
        <v>34.382779089066297</v>
      </c>
      <c r="AK56" s="75">
        <f t="shared" si="47"/>
        <v>-5.6681659071244894E-5</v>
      </c>
      <c r="AL56">
        <f t="shared" si="48"/>
        <v>-5.3984313355226639E-3</v>
      </c>
      <c r="AM56">
        <f t="shared" si="49"/>
        <v>-8.4589809363070918E-4</v>
      </c>
      <c r="AN56" s="75">
        <f t="shared" si="32"/>
        <v>-9.5181640347163921E-12</v>
      </c>
      <c r="AO56" s="7">
        <f t="shared" si="50"/>
        <v>34.169206426203992</v>
      </c>
    </row>
    <row r="57" spans="2:41" x14ac:dyDescent="0.25">
      <c r="B57">
        <v>3.52</v>
      </c>
      <c r="C57" s="7">
        <f t="shared" si="12"/>
        <v>36.333333333333336</v>
      </c>
      <c r="D57" s="7">
        <f t="shared" si="0"/>
        <v>36.993333333333332</v>
      </c>
      <c r="E57">
        <f t="shared" si="1"/>
        <v>-9.4316769752194052E-3</v>
      </c>
      <c r="F57">
        <f t="shared" si="51"/>
        <v>-7.4508609814753803E-3</v>
      </c>
      <c r="G57">
        <f t="shared" si="52"/>
        <v>-7.3072348997695817E-4</v>
      </c>
      <c r="H57" s="75">
        <f t="shared" si="34"/>
        <v>-1.6882392230188614E-5</v>
      </c>
      <c r="I57" s="7">
        <f t="shared" si="13"/>
        <v>34.97731579804146</v>
      </c>
      <c r="J57" s="7">
        <f t="shared" si="14"/>
        <v>35.637315798041456</v>
      </c>
      <c r="K57" s="75">
        <f t="shared" si="15"/>
        <v>-1.6882392230188614E-5</v>
      </c>
      <c r="L57">
        <f t="shared" si="16"/>
        <v>-6.4222838737403448E-3</v>
      </c>
      <c r="M57">
        <f t="shared" si="17"/>
        <v>-7.8739024302418E-4</v>
      </c>
      <c r="N57" s="75">
        <f t="shared" si="18"/>
        <v>-1.3389289676979388E-13</v>
      </c>
      <c r="O57" s="7">
        <f t="shared" si="19"/>
        <v>34.974686653341379</v>
      </c>
      <c r="Q57" s="7">
        <f t="shared" si="4"/>
        <v>36.9780469229975</v>
      </c>
      <c r="R57">
        <f t="shared" si="5"/>
        <v>-9.5610991363255238E-3</v>
      </c>
      <c r="S57">
        <f t="shared" si="35"/>
        <v>-7.4396862247249861E-3</v>
      </c>
      <c r="T57">
        <f t="shared" si="36"/>
        <v>-7.3132776461338632E-4</v>
      </c>
      <c r="U57" s="75">
        <f t="shared" si="37"/>
        <v>-1.7768804594808785E-5</v>
      </c>
      <c r="V57" s="7">
        <f t="shared" si="38"/>
        <v>34.954779077624295</v>
      </c>
      <c r="W57" s="7">
        <f t="shared" si="21"/>
        <v>35.599492667288459</v>
      </c>
      <c r="X57" s="75">
        <f t="shared" si="39"/>
        <v>-1.7768804594808785E-5</v>
      </c>
      <c r="Y57">
        <f t="shared" si="40"/>
        <v>-6.3924706678257469E-3</v>
      </c>
      <c r="Z57">
        <f t="shared" si="41"/>
        <v>-7.890642772748112E-4</v>
      </c>
      <c r="AA57" s="75">
        <f t="shared" si="25"/>
        <v>-1.5876189252139739E-13</v>
      </c>
      <c r="AB57" s="7">
        <f t="shared" si="42"/>
        <v>34.951998954743793</v>
      </c>
      <c r="AD57" s="7">
        <f t="shared" si="8"/>
        <v>36.546713860660283</v>
      </c>
      <c r="AE57">
        <f t="shared" si="9"/>
        <v>-1.3283949133981121E-2</v>
      </c>
      <c r="AF57">
        <f t="shared" si="43"/>
        <v>-7.1205174131040161E-3</v>
      </c>
      <c r="AG57">
        <f t="shared" si="44"/>
        <v>-7.4869224390209754E-4</v>
      </c>
      <c r="AH57" s="75">
        <f t="shared" si="45"/>
        <v>-6.57818509288699E-5</v>
      </c>
      <c r="AI57" s="7">
        <f t="shared" si="46"/>
        <v>34.236625710714797</v>
      </c>
      <c r="AJ57" s="7">
        <f t="shared" si="28"/>
        <v>34.450006238041745</v>
      </c>
      <c r="AK57" s="75">
        <f t="shared" si="47"/>
        <v>-6.57818509288699E-5</v>
      </c>
      <c r="AL57">
        <f t="shared" si="48"/>
        <v>-5.455187679476281E-3</v>
      </c>
      <c r="AM57">
        <f t="shared" si="49"/>
        <v>-8.4259987474717506E-4</v>
      </c>
      <c r="AN57" s="75">
        <f t="shared" si="32"/>
        <v>-1.4339196496848672E-11</v>
      </c>
      <c r="AO57" s="7">
        <f t="shared" si="50"/>
        <v>34.224555873675364</v>
      </c>
    </row>
    <row r="58" spans="2:41" x14ac:dyDescent="0.25">
      <c r="B58">
        <v>3.6</v>
      </c>
      <c r="C58" s="7">
        <f t="shared" si="12"/>
        <v>36.5</v>
      </c>
      <c r="D58" s="7">
        <f t="shared" si="0"/>
        <v>37.174999999999997</v>
      </c>
      <c r="E58">
        <f t="shared" si="1"/>
        <v>-1.0280027295427763E-2</v>
      </c>
      <c r="F58">
        <f t="shared" si="51"/>
        <v>-7.5829603691765397E-3</v>
      </c>
      <c r="G58">
        <f t="shared" si="52"/>
        <v>-7.2359914597210811E-4</v>
      </c>
      <c r="H58" s="75">
        <f t="shared" si="34"/>
        <v>-2.0675055968810696E-5</v>
      </c>
      <c r="I58" s="7">
        <f t="shared" si="13"/>
        <v>35.043045966435635</v>
      </c>
      <c r="J58" s="7">
        <f t="shared" si="14"/>
        <v>35.718045966435632</v>
      </c>
      <c r="K58" s="75">
        <f t="shared" si="15"/>
        <v>-2.0675055968810696E-5</v>
      </c>
      <c r="L58">
        <f t="shared" si="16"/>
        <v>-6.4857063480176468E-3</v>
      </c>
      <c r="M58">
        <f t="shared" si="17"/>
        <v>-7.8383493595872889E-4</v>
      </c>
      <c r="N58" s="75">
        <f t="shared" si="18"/>
        <v>-2.3736568266485847E-13</v>
      </c>
      <c r="O58" s="7">
        <f t="shared" si="19"/>
        <v>35.039857564269973</v>
      </c>
      <c r="Q58" s="7">
        <f t="shared" si="4"/>
        <v>37.159553276556736</v>
      </c>
      <c r="R58">
        <f t="shared" si="5"/>
        <v>-1.0411743471899992E-2</v>
      </c>
      <c r="S58">
        <f t="shared" si="35"/>
        <v>-7.5717784870592206E-3</v>
      </c>
      <c r="T58">
        <f t="shared" si="36"/>
        <v>-7.2420085175265185E-4</v>
      </c>
      <c r="U58" s="75">
        <f t="shared" si="37"/>
        <v>-2.1700333137308903E-5</v>
      </c>
      <c r="V58" s="7">
        <f t="shared" si="38"/>
        <v>35.020206755176282</v>
      </c>
      <c r="W58" s="7">
        <f t="shared" si="21"/>
        <v>35.679760031733018</v>
      </c>
      <c r="X58" s="75">
        <f t="shared" si="39"/>
        <v>-2.1700333137308903E-5</v>
      </c>
      <c r="Y58">
        <f t="shared" si="40"/>
        <v>-6.4556642929639169E-3</v>
      </c>
      <c r="Z58">
        <f t="shared" si="41"/>
        <v>-7.8551801645523629E-4</v>
      </c>
      <c r="AA58" s="75">
        <f t="shared" si="25"/>
        <v>-2.7866597918091429E-13</v>
      </c>
      <c r="AB58" s="7">
        <f t="shared" si="42"/>
        <v>35.016844626685085</v>
      </c>
      <c r="AD58" s="7">
        <f t="shared" si="8"/>
        <v>36.723696696791968</v>
      </c>
      <c r="AE58">
        <f t="shared" si="9"/>
        <v>-1.4200116415774788E-2</v>
      </c>
      <c r="AF58">
        <f t="shared" si="43"/>
        <v>-7.2523845040404489E-3</v>
      </c>
      <c r="AG58">
        <f t="shared" si="44"/>
        <v>-7.41493274532679E-4</v>
      </c>
      <c r="AH58" s="75">
        <f t="shared" si="45"/>
        <v>-7.577665770508446E-5</v>
      </c>
      <c r="AI58" s="7">
        <f t="shared" si="46"/>
        <v>34.293008065878112</v>
      </c>
      <c r="AJ58" s="7">
        <f t="shared" si="28"/>
        <v>34.516704762670081</v>
      </c>
      <c r="AK58" s="75">
        <f t="shared" si="47"/>
        <v>-7.577665770508446E-5</v>
      </c>
      <c r="AL58">
        <f t="shared" si="48"/>
        <v>-5.5112792493012541E-3</v>
      </c>
      <c r="AM58">
        <f t="shared" si="49"/>
        <v>-8.3934661696678369E-4</v>
      </c>
      <c r="AN58" s="75">
        <f t="shared" si="32"/>
        <v>-2.1141310924122081E-11</v>
      </c>
      <c r="AO58" s="7">
        <f t="shared" si="50"/>
        <v>34.279244262931712</v>
      </c>
    </row>
    <row r="59" spans="2:41" x14ac:dyDescent="0.25">
      <c r="B59">
        <v>3.68</v>
      </c>
      <c r="C59" s="7">
        <f t="shared" si="12"/>
        <v>36.666666666666671</v>
      </c>
      <c r="D59" s="7">
        <f t="shared" si="0"/>
        <v>37.356666666666669</v>
      </c>
      <c r="E59">
        <f t="shared" si="1"/>
        <v>-1.115225868260139E-2</v>
      </c>
      <c r="F59">
        <f t="shared" si="51"/>
        <v>-7.7137749497696965E-3</v>
      </c>
      <c r="G59">
        <f t="shared" si="52"/>
        <v>-7.1657848677397946E-4</v>
      </c>
      <c r="H59" s="75">
        <f t="shared" si="34"/>
        <v>-2.4992363678366658E-5</v>
      </c>
      <c r="I59" s="7">
        <f t="shared" si="13"/>
        <v>35.108076149361573</v>
      </c>
      <c r="J59" s="7">
        <f t="shared" si="14"/>
        <v>35.79807614936157</v>
      </c>
      <c r="K59" s="75">
        <f t="shared" si="15"/>
        <v>-2.4992363678366658E-5</v>
      </c>
      <c r="L59">
        <f t="shared" si="16"/>
        <v>-6.5482965611179354E-3</v>
      </c>
      <c r="M59">
        <f t="shared" si="17"/>
        <v>-7.803341705576517E-4</v>
      </c>
      <c r="N59" s="75">
        <f t="shared" si="18"/>
        <v>-4.0412118096355698E-13</v>
      </c>
      <c r="O59" s="7">
        <f t="shared" si="19"/>
        <v>35.104258660425863</v>
      </c>
      <c r="Q59" s="7">
        <f t="shared" si="4"/>
        <v>37.341059630115986</v>
      </c>
      <c r="R59">
        <f t="shared" si="5"/>
        <v>-1.1286246567884906E-2</v>
      </c>
      <c r="S59">
        <f t="shared" si="35"/>
        <v>-7.7025866088196761E-3</v>
      </c>
      <c r="T59">
        <f t="shared" si="36"/>
        <v>-7.1717761298534406E-4</v>
      </c>
      <c r="U59" s="75">
        <f t="shared" si="37"/>
        <v>-2.6167667846799247E-5</v>
      </c>
      <c r="V59" s="7">
        <f t="shared" si="38"/>
        <v>35.08494020581351</v>
      </c>
      <c r="W59" s="7">
        <f t="shared" si="21"/>
        <v>35.759333169262824</v>
      </c>
      <c r="X59" s="75">
        <f t="shared" si="39"/>
        <v>-2.6167667846799247E-5</v>
      </c>
      <c r="Y59">
        <f t="shared" si="40"/>
        <v>-6.5180313349035568E-3</v>
      </c>
      <c r="Z59">
        <f t="shared" si="41"/>
        <v>-7.8202597216838962E-4</v>
      </c>
      <c r="AA59" s="75">
        <f t="shared" si="25"/>
        <v>-4.7184478546569153E-13</v>
      </c>
      <c r="AB59" s="7">
        <f t="shared" si="42"/>
        <v>35.080924580284346</v>
      </c>
      <c r="AD59" s="7">
        <f t="shared" si="8"/>
        <v>36.900679532923661</v>
      </c>
      <c r="AE59">
        <f t="shared" si="9"/>
        <v>-1.5139509704986231E-2</v>
      </c>
      <c r="AF59">
        <f t="shared" si="43"/>
        <v>-7.3829866745449696E-3</v>
      </c>
      <c r="AG59">
        <f t="shared" si="44"/>
        <v>-7.3439763953305056E-4</v>
      </c>
      <c r="AH59" s="75">
        <f t="shared" si="45"/>
        <v>-8.6699971650672225E-5</v>
      </c>
      <c r="AI59" s="7">
        <f t="shared" si="46"/>
        <v>34.348886464922579</v>
      </c>
      <c r="AJ59" s="7">
        <f t="shared" si="28"/>
        <v>34.582899331179568</v>
      </c>
      <c r="AK59" s="75">
        <f t="shared" si="47"/>
        <v>-8.6699971650672225E-5</v>
      </c>
      <c r="AL59">
        <f t="shared" si="48"/>
        <v>-5.5667330895853018E-3</v>
      </c>
      <c r="AM59">
        <f t="shared" si="49"/>
        <v>-8.3613653251547867E-4</v>
      </c>
      <c r="AN59" s="75">
        <f t="shared" si="32"/>
        <v>-3.0564661912535485E-11</v>
      </c>
      <c r="AO59" s="7">
        <f t="shared" si="50"/>
        <v>34.333293545518934</v>
      </c>
    </row>
    <row r="60" spans="2:41" x14ac:dyDescent="0.25">
      <c r="B60">
        <v>3.7600000000000002</v>
      </c>
      <c r="C60" s="7">
        <f t="shared" si="12"/>
        <v>36.833333333333336</v>
      </c>
      <c r="D60" s="7">
        <f t="shared" si="0"/>
        <v>37.538333333333334</v>
      </c>
      <c r="E60">
        <f t="shared" si="1"/>
        <v>-1.2048139429977844E-2</v>
      </c>
      <c r="F60">
        <f t="shared" si="51"/>
        <v>-7.8433233767168271E-3</v>
      </c>
      <c r="G60">
        <f t="shared" si="52"/>
        <v>-7.0965951011782164E-4</v>
      </c>
      <c r="H60" s="75">
        <f t="shared" si="34"/>
        <v>-2.9865753238045301E-5</v>
      </c>
      <c r="I60" s="7">
        <f t="shared" si="13"/>
        <v>35.172434379847452</v>
      </c>
      <c r="J60" s="7">
        <f t="shared" si="14"/>
        <v>35.87743437984745</v>
      </c>
      <c r="K60" s="75">
        <f t="shared" si="15"/>
        <v>-2.9865753238045301E-5</v>
      </c>
      <c r="L60">
        <f t="shared" si="16"/>
        <v>-6.6100855244856128E-3</v>
      </c>
      <c r="M60">
        <f t="shared" si="17"/>
        <v>-7.7688590552785664E-4</v>
      </c>
      <c r="N60" s="75">
        <f t="shared" si="18"/>
        <v>-6.6635585938001896E-13</v>
      </c>
      <c r="O60" s="7">
        <f t="shared" si="19"/>
        <v>35.167914969757987</v>
      </c>
      <c r="Q60" s="7">
        <f t="shared" si="4"/>
        <v>37.522565983675221</v>
      </c>
      <c r="R60">
        <f t="shared" si="5"/>
        <v>-1.2184377041301486E-2</v>
      </c>
      <c r="S60">
        <f t="shared" si="35"/>
        <v>-7.8321292251662886E-3</v>
      </c>
      <c r="T60">
        <f t="shared" si="36"/>
        <v>-7.1025604717753416E-4</v>
      </c>
      <c r="U60" s="75">
        <f t="shared" si="37"/>
        <v>-3.1202353519610426E-5</v>
      </c>
      <c r="V60" s="7">
        <f t="shared" si="38"/>
        <v>35.149007326491116</v>
      </c>
      <c r="W60" s="7">
        <f t="shared" si="21"/>
        <v>35.838239976833002</v>
      </c>
      <c r="X60" s="75">
        <f t="shared" si="39"/>
        <v>-3.1202353519610426E-5</v>
      </c>
      <c r="Y60">
        <f t="shared" si="40"/>
        <v>-6.579602644100617E-3</v>
      </c>
      <c r="Z60">
        <f t="shared" si="41"/>
        <v>-7.7858611345385661E-4</v>
      </c>
      <c r="AA60" s="75">
        <f t="shared" si="25"/>
        <v>-7.7293726974403398E-13</v>
      </c>
      <c r="AB60" s="7">
        <f t="shared" si="42"/>
        <v>35.144263709734716</v>
      </c>
      <c r="AD60" s="7">
        <f t="shared" si="8"/>
        <v>37.077662369055346</v>
      </c>
      <c r="AE60">
        <f t="shared" si="9"/>
        <v>-1.6101906740439986E-2</v>
      </c>
      <c r="AF60">
        <f t="shared" si="43"/>
        <v>-7.5123420381547693E-3</v>
      </c>
      <c r="AG60">
        <f t="shared" si="44"/>
        <v>-7.2740337063547278E-4</v>
      </c>
      <c r="AH60" s="75">
        <f t="shared" si="45"/>
        <v>-9.8584343973806554E-5</v>
      </c>
      <c r="AI60" s="7">
        <f t="shared" si="46"/>
        <v>34.404284114499795</v>
      </c>
      <c r="AJ60" s="7">
        <f t="shared" si="28"/>
        <v>34.648613150221806</v>
      </c>
      <c r="AK60" s="75">
        <f t="shared" si="47"/>
        <v>-9.8584343973806554E-5</v>
      </c>
      <c r="AL60">
        <f t="shared" si="48"/>
        <v>-5.621574605490523E-3</v>
      </c>
      <c r="AM60">
        <f t="shared" si="49"/>
        <v>-8.3296794275918593E-4</v>
      </c>
      <c r="AN60" s="75">
        <f t="shared" si="32"/>
        <v>-4.3404169147720495E-11</v>
      </c>
      <c r="AO60" s="7">
        <f t="shared" si="50"/>
        <v>34.386724485783198</v>
      </c>
    </row>
    <row r="61" spans="2:41" x14ac:dyDescent="0.25">
      <c r="B61">
        <v>3.84</v>
      </c>
      <c r="C61" s="7">
        <f t="shared" si="12"/>
        <v>37</v>
      </c>
      <c r="D61" s="7">
        <f t="shared" si="0"/>
        <v>37.72</v>
      </c>
      <c r="E61">
        <f t="shared" si="1"/>
        <v>-1.2967441186734652E-2</v>
      </c>
      <c r="F61">
        <f t="shared" si="51"/>
        <v>-7.9716239441254971E-3</v>
      </c>
      <c r="G61">
        <f t="shared" si="52"/>
        <v>-7.0284026183892255E-4</v>
      </c>
      <c r="H61" s="75">
        <f t="shared" si="34"/>
        <v>-3.5325917125739181E-5</v>
      </c>
      <c r="I61" s="7">
        <f t="shared" si="13"/>
        <v>35.236147185799993</v>
      </c>
      <c r="J61" s="7">
        <f t="shared" si="14"/>
        <v>35.956147185799992</v>
      </c>
      <c r="K61" s="75">
        <f t="shared" si="15"/>
        <v>-3.5325917125739181E-5</v>
      </c>
      <c r="L61">
        <f t="shared" si="16"/>
        <v>-6.6711025265983014E-3</v>
      </c>
      <c r="M61">
        <f t="shared" si="17"/>
        <v>-7.7348821469600871E-4</v>
      </c>
      <c r="N61" s="75">
        <f t="shared" si="18"/>
        <v>-1.0658141036401503E-12</v>
      </c>
      <c r="O61" s="7">
        <f t="shared" si="19"/>
        <v>35.230850195041121</v>
      </c>
      <c r="Q61" s="7">
        <f t="shared" si="4"/>
        <v>37.704072337234457</v>
      </c>
      <c r="R61">
        <f t="shared" si="5"/>
        <v>-1.3105906858872807E-2</v>
      </c>
      <c r="S61">
        <f t="shared" si="35"/>
        <v>-7.9604246124224537E-3</v>
      </c>
      <c r="T61">
        <f t="shared" si="36"/>
        <v>-7.0343420124608681E-4</v>
      </c>
      <c r="U61" s="75">
        <f t="shared" si="37"/>
        <v>-3.6835170854843113E-5</v>
      </c>
      <c r="V61" s="7">
        <f t="shared" si="38"/>
        <v>35.21243451355997</v>
      </c>
      <c r="W61" s="7">
        <f t="shared" si="21"/>
        <v>35.916506850794427</v>
      </c>
      <c r="X61" s="75">
        <f t="shared" si="39"/>
        <v>-3.6835170854843113E-5</v>
      </c>
      <c r="Y61">
        <f t="shared" si="40"/>
        <v>-6.6404073543420115E-3</v>
      </c>
      <c r="Z61">
        <f t="shared" si="41"/>
        <v>-7.7519652403869029E-4</v>
      </c>
      <c r="AA61" s="75">
        <f t="shared" si="25"/>
        <v>-1.2294609774698984E-12</v>
      </c>
      <c r="AB61" s="7">
        <f t="shared" si="42"/>
        <v>35.206885591144761</v>
      </c>
      <c r="AD61" s="7">
        <f t="shared" si="8"/>
        <v>37.254645205187032</v>
      </c>
      <c r="AE61">
        <f t="shared" si="9"/>
        <v>-1.7087088436165576E-2</v>
      </c>
      <c r="AF61">
        <f t="shared" si="43"/>
        <v>-7.6404683642045876E-3</v>
      </c>
      <c r="AG61">
        <f t="shared" si="44"/>
        <v>-7.2050854621339322E-4</v>
      </c>
      <c r="AH61" s="75">
        <f t="shared" si="45"/>
        <v>-1.1146098450143249E-4</v>
      </c>
      <c r="AI61" s="7">
        <f t="shared" si="46"/>
        <v>34.459222859841589</v>
      </c>
      <c r="AJ61" s="7">
        <f t="shared" si="28"/>
        <v>34.71386806502862</v>
      </c>
      <c r="AK61" s="75">
        <f t="shared" si="47"/>
        <v>-1.1146098450143249E-4</v>
      </c>
      <c r="AL61">
        <f t="shared" si="48"/>
        <v>-5.6758276809647859E-3</v>
      </c>
      <c r="AM61">
        <f t="shared" si="49"/>
        <v>-8.2983927016607784E-4</v>
      </c>
      <c r="AN61" s="75">
        <f t="shared" si="32"/>
        <v>-6.0633276177668449E-11</v>
      </c>
      <c r="AO61" s="7">
        <f t="shared" si="50"/>
        <v>34.43955674885278</v>
      </c>
    </row>
    <row r="62" spans="2:41" x14ac:dyDescent="0.25">
      <c r="B62">
        <v>3.92</v>
      </c>
      <c r="C62" s="7">
        <f t="shared" si="12"/>
        <v>37.166666666666671</v>
      </c>
      <c r="D62" s="7">
        <f t="shared" si="0"/>
        <v>37.901666666666671</v>
      </c>
      <c r="E62">
        <f t="shared" si="1"/>
        <v>-1.3909938893490015E-2</v>
      </c>
      <c r="F62">
        <f t="shared" si="51"/>
        <v>-8.098694595360955E-3</v>
      </c>
      <c r="G62">
        <f t="shared" si="52"/>
        <v>-6.9611883449264395E-4</v>
      </c>
      <c r="H62" s="75">
        <f t="shared" si="34"/>
        <v>-4.140276817898858E-5</v>
      </c>
      <c r="I62" s="7">
        <f t="shared" si="13"/>
        <v>35.299239690338389</v>
      </c>
      <c r="J62" s="7">
        <f t="shared" si="14"/>
        <v>36.034239690338389</v>
      </c>
      <c r="K62" s="75">
        <f t="shared" si="15"/>
        <v>-4.140276817898858E-5</v>
      </c>
      <c r="L62">
        <f t="shared" si="16"/>
        <v>-6.7313752532719394E-3</v>
      </c>
      <c r="M62">
        <f t="shared" si="17"/>
        <v>-7.7013927880538848E-4</v>
      </c>
      <c r="N62" s="75">
        <f t="shared" si="18"/>
        <v>-1.659783421814609E-12</v>
      </c>
      <c r="O62" s="7">
        <f t="shared" si="19"/>
        <v>35.293086810048351</v>
      </c>
      <c r="Q62" s="7">
        <f t="shared" si="4"/>
        <v>37.885578690793707</v>
      </c>
      <c r="R62">
        <f t="shared" si="5"/>
        <v>-1.4050611272677038E-2</v>
      </c>
      <c r="S62">
        <f t="shared" si="35"/>
        <v>-8.0874906966707828E-3</v>
      </c>
      <c r="T62">
        <f t="shared" si="36"/>
        <v>-6.9671016878073951E-4</v>
      </c>
      <c r="U62" s="75">
        <f t="shared" si="37"/>
        <v>-4.3096103215178871E-5</v>
      </c>
      <c r="V62" s="7">
        <f t="shared" si="38"/>
        <v>35.275246762785137</v>
      </c>
      <c r="W62" s="7">
        <f t="shared" si="21"/>
        <v>35.994158786912173</v>
      </c>
      <c r="X62" s="75">
        <f t="shared" si="39"/>
        <v>-4.3096103215178871E-5</v>
      </c>
      <c r="Y62">
        <f t="shared" si="40"/>
        <v>-6.7004730026240453E-3</v>
      </c>
      <c r="Z62">
        <f t="shared" si="41"/>
        <v>-7.7185539416377519E-4</v>
      </c>
      <c r="AA62" s="75">
        <f t="shared" si="25"/>
        <v>-1.9042545318370685E-12</v>
      </c>
      <c r="AB62" s="7">
        <f t="shared" si="42"/>
        <v>35.268812578196176</v>
      </c>
      <c r="AD62" s="7">
        <f t="shared" si="8"/>
        <v>37.431628041318724</v>
      </c>
      <c r="AE62">
        <f t="shared" si="9"/>
        <v>-1.8094838821201886E-2</v>
      </c>
      <c r="AF62">
        <f t="shared" si="43"/>
        <v>-7.7673830859639192E-3</v>
      </c>
      <c r="AG62">
        <f t="shared" si="44"/>
        <v>-7.1371128996142229E-4</v>
      </c>
      <c r="AH62" s="75">
        <f t="shared" si="45"/>
        <v>-1.2535976647343183E-4</v>
      </c>
      <c r="AI62" s="7">
        <f t="shared" si="46"/>
        <v>34.513723276582667</v>
      </c>
      <c r="AJ62" s="7">
        <f t="shared" si="28"/>
        <v>34.77868465123472</v>
      </c>
      <c r="AK62" s="75">
        <f t="shared" si="47"/>
        <v>-1.2535976647343183E-4</v>
      </c>
      <c r="AL62">
        <f t="shared" si="48"/>
        <v>-5.7295147867685858E-3</v>
      </c>
      <c r="AM62">
        <f t="shared" si="49"/>
        <v>-8.2674903097291986E-4</v>
      </c>
      <c r="AN62" s="75">
        <f t="shared" si="32"/>
        <v>-8.3431039854531264E-11</v>
      </c>
      <c r="AO62" s="7">
        <f t="shared" si="50"/>
        <v>34.49180898041174</v>
      </c>
    </row>
    <row r="63" spans="2:41" x14ac:dyDescent="0.25">
      <c r="B63">
        <v>4</v>
      </c>
      <c r="C63" s="7">
        <f t="shared" si="12"/>
        <v>37.333333333333336</v>
      </c>
      <c r="D63" s="7">
        <f t="shared" si="0"/>
        <v>38.083333333333336</v>
      </c>
      <c r="E63">
        <f t="shared" si="1"/>
        <v>-1.4875410719350057E-2</v>
      </c>
      <c r="F63">
        <f t="shared" si="51"/>
        <v>-8.2245529314117563E-3</v>
      </c>
      <c r="G63">
        <f t="shared" si="52"/>
        <v>-6.8949336602042611E-4</v>
      </c>
      <c r="H63" s="75">
        <f t="shared" si="34"/>
        <v>-4.8125411264754447E-5</v>
      </c>
      <c r="I63" s="7">
        <f t="shared" si="13"/>
        <v>35.361735703636839</v>
      </c>
      <c r="J63" s="7">
        <f t="shared" si="14"/>
        <v>36.111735703636839</v>
      </c>
      <c r="K63" s="75">
        <f t="shared" si="15"/>
        <v>-4.8125411264754447E-5</v>
      </c>
      <c r="L63">
        <f t="shared" si="16"/>
        <v>-6.7909298975610335E-3</v>
      </c>
      <c r="M63">
        <f t="shared" si="17"/>
        <v>-7.6683737803109138E-4</v>
      </c>
      <c r="N63" s="75">
        <f t="shared" si="18"/>
        <v>-2.5226487565532807E-12</v>
      </c>
      <c r="O63" s="7">
        <f t="shared" si="19"/>
        <v>35.354646146932538</v>
      </c>
      <c r="Q63" s="7">
        <f t="shared" si="4"/>
        <v>38.067085044352943</v>
      </c>
      <c r="R63">
        <f t="shared" si="5"/>
        <v>-1.5018268757338582E-2</v>
      </c>
      <c r="S63">
        <f t="shared" si="35"/>
        <v>-8.2133450621029065E-3</v>
      </c>
      <c r="T63">
        <f t="shared" si="36"/>
        <v>-6.900820887120612E-4</v>
      </c>
      <c r="U63" s="75">
        <f t="shared" si="37"/>
        <v>-5.0014309275869806E-5</v>
      </c>
      <c r="V63" s="7">
        <f t="shared" si="38"/>
        <v>35.337467760910151</v>
      </c>
      <c r="W63" s="7">
        <f t="shared" si="21"/>
        <v>36.071219471929759</v>
      </c>
      <c r="X63" s="75">
        <f t="shared" si="39"/>
        <v>-5.0014309275869806E-5</v>
      </c>
      <c r="Y63">
        <f t="shared" si="40"/>
        <v>-6.7598256386708633E-3</v>
      </c>
      <c r="Z63">
        <f t="shared" si="41"/>
        <v>-7.6856101312550542E-4</v>
      </c>
      <c r="AA63" s="75">
        <f t="shared" si="25"/>
        <v>-2.8803626150875061E-12</v>
      </c>
      <c r="AB63" s="7">
        <f t="shared" si="42"/>
        <v>35.330065889057508</v>
      </c>
      <c r="AD63" s="7">
        <f t="shared" si="8"/>
        <v>37.60861087745041</v>
      </c>
      <c r="AE63">
        <f t="shared" si="9"/>
        <v>-1.9124944980823733E-2</v>
      </c>
      <c r="AF63">
        <f t="shared" si="43"/>
        <v>-7.8931033085444836E-3</v>
      </c>
      <c r="AG63">
        <f t="shared" si="44"/>
        <v>-7.0700976961868994E-4</v>
      </c>
      <c r="AH63" s="75">
        <f t="shared" si="45"/>
        <v>-1.4030923583163712E-4</v>
      </c>
      <c r="AI63" s="7">
        <f t="shared" si="46"/>
        <v>34.567804755115041</v>
      </c>
      <c r="AJ63" s="7">
        <f t="shared" si="28"/>
        <v>34.843082299232115</v>
      </c>
      <c r="AK63" s="75">
        <f t="shared" si="47"/>
        <v>-1.4030923583163712E-4</v>
      </c>
      <c r="AL63">
        <f t="shared" si="48"/>
        <v>-5.7826570793849015E-3</v>
      </c>
      <c r="AM63">
        <f t="shared" si="49"/>
        <v>-8.2369582848120339E-4</v>
      </c>
      <c r="AN63" s="75">
        <f t="shared" si="32"/>
        <v>-1.1321144022247154E-10</v>
      </c>
      <c r="AO63" s="7">
        <f t="shared" si="50"/>
        <v>34.543498879182444</v>
      </c>
    </row>
    <row r="64" spans="2:41" x14ac:dyDescent="0.25">
      <c r="B64">
        <v>4.08</v>
      </c>
      <c r="C64" s="7">
        <f t="shared" si="12"/>
        <v>37.5</v>
      </c>
      <c r="D64" s="7">
        <f t="shared" si="0"/>
        <v>38.265000000000001</v>
      </c>
      <c r="E64">
        <f t="shared" si="1"/>
        <v>-1.5863638000451763E-2</v>
      </c>
      <c r="F64">
        <f t="shared" si="51"/>
        <v>-8.3492162190171096E-3</v>
      </c>
      <c r="G64">
        <f t="shared" si="52"/>
        <v>-6.8296203846001692E-4</v>
      </c>
      <c r="H64" s="75">
        <f t="shared" si="34"/>
        <v>-5.5522120316675583E-5</v>
      </c>
      <c r="I64" s="7">
        <f t="shared" si="13"/>
        <v>35.423657807177406</v>
      </c>
      <c r="J64" s="7">
        <f t="shared" si="14"/>
        <v>36.188657807177407</v>
      </c>
      <c r="K64" s="75">
        <f t="shared" si="15"/>
        <v>-5.5522120316675583E-5</v>
      </c>
      <c r="L64">
        <f t="shared" si="16"/>
        <v>-6.8497912603564699E-3</v>
      </c>
      <c r="M64">
        <f t="shared" si="17"/>
        <v>-7.6358088513723914E-4</v>
      </c>
      <c r="N64" s="75">
        <f t="shared" si="18"/>
        <v>-3.7512215556034789E-12</v>
      </c>
      <c r="O64" s="7">
        <f t="shared" si="19"/>
        <v>35.415548475779666</v>
      </c>
      <c r="Q64" s="7">
        <f t="shared" si="4"/>
        <v>38.248591397912179</v>
      </c>
      <c r="R64">
        <f t="shared" si="5"/>
        <v>-1.6008660948711784E-2</v>
      </c>
      <c r="S64">
        <f t="shared" si="35"/>
        <v>-8.3380049591316625E-3</v>
      </c>
      <c r="T64">
        <f t="shared" si="36"/>
        <v>-6.8354814402355011E-4</v>
      </c>
      <c r="U64" s="75">
        <f t="shared" si="37"/>
        <v>-5.7618101011236433E-5</v>
      </c>
      <c r="V64" s="7">
        <f t="shared" si="38"/>
        <v>35.399119969663197</v>
      </c>
      <c r="W64" s="7">
        <f t="shared" si="21"/>
        <v>36.147711367575376</v>
      </c>
      <c r="X64" s="75">
        <f t="shared" si="39"/>
        <v>-5.7618101011236433E-5</v>
      </c>
      <c r="Y64">
        <f t="shared" si="40"/>
        <v>-6.8184899251892382E-3</v>
      </c>
      <c r="Z64">
        <f t="shared" si="41"/>
        <v>-7.6531176245684426E-4</v>
      </c>
      <c r="AA64" s="75">
        <f t="shared" si="25"/>
        <v>-4.2654768606098514E-12</v>
      </c>
      <c r="AB64" s="7">
        <f t="shared" si="42"/>
        <v>35.390665685511955</v>
      </c>
      <c r="AD64" s="7">
        <f t="shared" si="8"/>
        <v>37.785593713582095</v>
      </c>
      <c r="AE64">
        <f t="shared" si="9"/>
        <v>-2.0177196999145997E-2</v>
      </c>
      <c r="AF64">
        <f t="shared" si="43"/>
        <v>-8.0176458165854732E-3</v>
      </c>
      <c r="AG64">
        <f t="shared" si="44"/>
        <v>-7.0040219573395913E-4</v>
      </c>
      <c r="AH64" s="75">
        <f t="shared" si="45"/>
        <v>-1.5633662443459428E-4</v>
      </c>
      <c r="AI64" s="7">
        <f t="shared" si="46"/>
        <v>34.621485578231621</v>
      </c>
      <c r="AJ64" s="7">
        <f t="shared" si="28"/>
        <v>34.907079291813716</v>
      </c>
      <c r="AK64" s="75">
        <f t="shared" si="47"/>
        <v>-1.5633662443459428E-4</v>
      </c>
      <c r="AL64">
        <f t="shared" si="48"/>
        <v>-5.8352744917463187E-3</v>
      </c>
      <c r="AM64">
        <f t="shared" si="49"/>
        <v>-8.2067834691806028E-4</v>
      </c>
      <c r="AN64" s="75">
        <f t="shared" si="32"/>
        <v>-1.5165180222709296E-10</v>
      </c>
      <c r="AO64" s="7">
        <f t="shared" si="50"/>
        <v>34.594643262914744</v>
      </c>
    </row>
    <row r="65" spans="2:41" x14ac:dyDescent="0.25">
      <c r="B65">
        <v>4.16</v>
      </c>
      <c r="C65" s="7">
        <f t="shared" si="12"/>
        <v>37.666666666666671</v>
      </c>
      <c r="D65" s="7">
        <f t="shared" si="0"/>
        <v>38.446666666666673</v>
      </c>
      <c r="E65">
        <f t="shared" si="1"/>
        <v>-1.687440517996075E-2</v>
      </c>
      <c r="F65">
        <f t="shared" si="51"/>
        <v>-8.4727013985637714E-3</v>
      </c>
      <c r="G65">
        <f t="shared" si="52"/>
        <v>-6.7652307669826292E-4</v>
      </c>
      <c r="H65" s="75">
        <f t="shared" si="34"/>
        <v>-6.3620320237767203E-5</v>
      </c>
      <c r="I65" s="7">
        <f t="shared" si="13"/>
        <v>35.485027431199171</v>
      </c>
      <c r="J65" s="7">
        <f t="shared" si="14"/>
        <v>36.265027431199172</v>
      </c>
      <c r="K65" s="75">
        <f t="shared" si="15"/>
        <v>-6.3620320237767203E-5</v>
      </c>
      <c r="L65">
        <f t="shared" si="16"/>
        <v>-6.9079828426437846E-3</v>
      </c>
      <c r="M65">
        <f t="shared" si="17"/>
        <v>-7.603682592095053E-4</v>
      </c>
      <c r="N65" s="75">
        <f t="shared" si="18"/>
        <v>-5.4689586193035211E-12</v>
      </c>
      <c r="O65" s="7">
        <f t="shared" si="19"/>
        <v>35.475813077173875</v>
      </c>
      <c r="Q65" s="7">
        <f t="shared" si="4"/>
        <v>38.430097751471429</v>
      </c>
      <c r="R65">
        <f t="shared" si="5"/>
        <v>-1.7021572584016598E-2</v>
      </c>
      <c r="S65">
        <f t="shared" si="35"/>
        <v>-8.4614873122732838E-3</v>
      </c>
      <c r="T65">
        <f t="shared" si="36"/>
        <v>-6.7710656050621297E-4</v>
      </c>
      <c r="U65" s="75">
        <f t="shared" si="37"/>
        <v>-6.59349265190734E-5</v>
      </c>
      <c r="V65" s="7">
        <f t="shared" si="38"/>
        <v>35.460224702986963</v>
      </c>
      <c r="W65" s="7">
        <f t="shared" si="21"/>
        <v>36.223655787791721</v>
      </c>
      <c r="X65" s="75">
        <f t="shared" si="39"/>
        <v>-6.59349265190734E-5</v>
      </c>
      <c r="Y65">
        <f t="shared" si="40"/>
        <v>-6.8764892298175985E-3</v>
      </c>
      <c r="Z65">
        <f t="shared" si="41"/>
        <v>-7.6210610968139951E-4</v>
      </c>
      <c r="AA65" s="75">
        <f t="shared" si="25"/>
        <v>-6.1934901651738983E-12</v>
      </c>
      <c r="AB65" s="7">
        <f t="shared" si="42"/>
        <v>35.45063114513389</v>
      </c>
      <c r="AD65" s="7">
        <f t="shared" si="8"/>
        <v>37.962576549713795</v>
      </c>
      <c r="AE65">
        <f t="shared" si="9"/>
        <v>-2.1251387903069574E-2</v>
      </c>
      <c r="AF65">
        <f t="shared" si="43"/>
        <v>-8.1410270817238381E-3</v>
      </c>
      <c r="AG65">
        <f t="shared" si="44"/>
        <v>-6.938868204709465E-4</v>
      </c>
      <c r="AH65" s="75">
        <f t="shared" si="45"/>
        <v>-1.7346786666716518E-4</v>
      </c>
      <c r="AI65" s="7">
        <f t="shared" si="46"/>
        <v>34.674782992720935</v>
      </c>
      <c r="AJ65" s="7">
        <f t="shared" si="28"/>
        <v>34.970692875768059</v>
      </c>
      <c r="AK65" s="75">
        <f t="shared" si="47"/>
        <v>-1.7346786666716518E-4</v>
      </c>
      <c r="AL65">
        <f t="shared" si="48"/>
        <v>-5.8873858165974201E-3</v>
      </c>
      <c r="AM65">
        <f t="shared" si="49"/>
        <v>-8.1769534580501788E-4</v>
      </c>
      <c r="AN65" s="75">
        <f t="shared" si="32"/>
        <v>-2.007265464953889E-10</v>
      </c>
      <c r="AO65" s="7">
        <f t="shared" si="50"/>
        <v>34.645258128579982</v>
      </c>
    </row>
    <row r="66" spans="2:41" x14ac:dyDescent="0.25">
      <c r="B66">
        <v>4.24</v>
      </c>
      <c r="C66" s="7">
        <f t="shared" si="12"/>
        <v>37.833333333333336</v>
      </c>
      <c r="D66" s="7">
        <f t="shared" si="0"/>
        <v>38.628333333333337</v>
      </c>
      <c r="E66">
        <f t="shared" si="1"/>
        <v>-1.7907499749486133E-2</v>
      </c>
      <c r="F66">
        <f t="shared" si="51"/>
        <v>-8.5950250917601161E-3</v>
      </c>
      <c r="G66">
        <f t="shared" si="52"/>
        <v>-6.7017474726486267E-4</v>
      </c>
      <c r="H66" s="75">
        <f t="shared" si="34"/>
        <v>-7.2446573195605879E-5</v>
      </c>
      <c r="I66" s="7">
        <f t="shared" si="13"/>
        <v>35.545864926031662</v>
      </c>
      <c r="J66" s="7">
        <f t="shared" si="14"/>
        <v>36.340864926031664</v>
      </c>
      <c r="K66" s="75">
        <f t="shared" si="15"/>
        <v>-7.2446573195605879E-5</v>
      </c>
      <c r="L66">
        <f t="shared" si="16"/>
        <v>-6.9655269302661103E-3</v>
      </c>
      <c r="M66">
        <f t="shared" si="17"/>
        <v>-7.5719803990444991E-4</v>
      </c>
      <c r="N66" s="75">
        <f t="shared" si="18"/>
        <v>-7.8292927696566039E-12</v>
      </c>
      <c r="O66" s="7">
        <f t="shared" si="19"/>
        <v>35.535458308510847</v>
      </c>
      <c r="Q66" s="7">
        <f t="shared" si="4"/>
        <v>38.611604105030665</v>
      </c>
      <c r="R66">
        <f t="shared" si="5"/>
        <v>-1.8056791443385123E-2</v>
      </c>
      <c r="S66">
        <f t="shared" si="35"/>
        <v>-8.5838087278072954E-3</v>
      </c>
      <c r="T66">
        <f t="shared" si="36"/>
        <v>-6.7075560555403117E-4</v>
      </c>
      <c r="U66" s="75">
        <f t="shared" si="37"/>
        <v>-7.499135720823169E-5</v>
      </c>
      <c r="V66" s="7">
        <f t="shared" si="38"/>
        <v>35.520802198177364</v>
      </c>
      <c r="W66" s="7">
        <f t="shared" si="21"/>
        <v>36.299072969874693</v>
      </c>
      <c r="X66" s="75">
        <f t="shared" si="39"/>
        <v>-7.499135720823169E-5</v>
      </c>
      <c r="Y66">
        <f t="shared" si="40"/>
        <v>-6.9338457096100939E-3</v>
      </c>
      <c r="Z66">
        <f t="shared" si="41"/>
        <v>-7.5894260258224612E-4</v>
      </c>
      <c r="AA66" s="75">
        <f t="shared" si="25"/>
        <v>-8.8344886961522207E-12</v>
      </c>
      <c r="AB66" s="7">
        <f t="shared" si="42"/>
        <v>35.509980527247691</v>
      </c>
      <c r="AD66" s="7">
        <f t="shared" si="8"/>
        <v>38.13955938584548</v>
      </c>
      <c r="AE66">
        <f t="shared" si="9"/>
        <v>-2.2347313607532948E-2</v>
      </c>
      <c r="AF66">
        <f t="shared" si="43"/>
        <v>-8.2632632698565155E-3</v>
      </c>
      <c r="AG66">
        <f t="shared" si="44"/>
        <v>-6.8746193645236064E-4</v>
      </c>
      <c r="AH66" s="75">
        <f t="shared" si="45"/>
        <v>-1.9172761898200719E-4</v>
      </c>
      <c r="AI66" s="7">
        <f t="shared" si="46"/>
        <v>34.727713275495127</v>
      </c>
      <c r="AJ66" s="7">
        <f t="shared" si="28"/>
        <v>35.033939328007271</v>
      </c>
      <c r="AK66" s="75">
        <f t="shared" si="47"/>
        <v>-1.9172761898200719E-4</v>
      </c>
      <c r="AL66">
        <f t="shared" si="48"/>
        <v>-5.9390087832122719E-3</v>
      </c>
      <c r="AM66">
        <f t="shared" si="49"/>
        <v>-8.1474565478449005E-4</v>
      </c>
      <c r="AN66" s="75">
        <f t="shared" si="32"/>
        <v>-2.6273583308977777E-10</v>
      </c>
      <c r="AO66" s="7">
        <f t="shared" si="50"/>
        <v>34.695358707378411</v>
      </c>
    </row>
    <row r="67" spans="2:41" x14ac:dyDescent="0.25">
      <c r="B67">
        <v>4.32</v>
      </c>
      <c r="C67" s="7">
        <f t="shared" si="12"/>
        <v>38</v>
      </c>
      <c r="D67" s="7">
        <f t="shared" si="0"/>
        <v>38.81</v>
      </c>
      <c r="E67">
        <f t="shared" si="1"/>
        <v>-1.8962712191865849E-2</v>
      </c>
      <c r="F67">
        <f t="shared" si="51"/>
        <v>-8.7162036090947075E-3</v>
      </c>
      <c r="G67">
        <f t="shared" si="52"/>
        <v>-6.6391535716554882E-4</v>
      </c>
      <c r="H67" s="75">
        <f t="shared" si="34"/>
        <v>-8.2026568892779039E-5</v>
      </c>
      <c r="I67" s="7">
        <f t="shared" si="13"/>
        <v>35.606189627918567</v>
      </c>
      <c r="J67" s="7">
        <f t="shared" si="14"/>
        <v>36.41618962791857</v>
      </c>
      <c r="K67" s="75">
        <f t="shared" si="15"/>
        <v>-8.2026568892779039E-5</v>
      </c>
      <c r="L67">
        <f t="shared" si="16"/>
        <v>-7.0224446719357389E-3</v>
      </c>
      <c r="M67">
        <f t="shared" si="17"/>
        <v>-7.540688421641289E-4</v>
      </c>
      <c r="N67" s="75">
        <f t="shared" si="18"/>
        <v>-1.1023404411503179E-11</v>
      </c>
      <c r="O67" s="7">
        <f t="shared" si="19"/>
        <v>35.594501664705199</v>
      </c>
      <c r="Q67" s="7">
        <f t="shared" si="4"/>
        <v>38.793110458589901</v>
      </c>
      <c r="R67">
        <f t="shared" si="5"/>
        <v>-1.9114108292778376E-2</v>
      </c>
      <c r="S67">
        <f t="shared" si="35"/>
        <v>-8.7049855012214412E-3</v>
      </c>
      <c r="T67">
        <f t="shared" si="36"/>
        <v>-6.6449358699877809E-4</v>
      </c>
      <c r="U67" s="75">
        <f t="shared" si="37"/>
        <v>-8.4813078930379149E-5</v>
      </c>
      <c r="V67" s="7">
        <f t="shared" si="38"/>
        <v>35.580871681532855</v>
      </c>
      <c r="W67" s="7">
        <f t="shared" si="21"/>
        <v>36.373982140122756</v>
      </c>
      <c r="X67" s="75">
        <f t="shared" si="39"/>
        <v>-8.4813078930379149E-5</v>
      </c>
      <c r="Y67">
        <f t="shared" si="40"/>
        <v>-6.9905803887952145E-3</v>
      </c>
      <c r="Z67">
        <f t="shared" si="41"/>
        <v>-7.5581986393425055E-4</v>
      </c>
      <c r="AA67" s="75">
        <f t="shared" si="25"/>
        <v>-1.2396972337569423E-11</v>
      </c>
      <c r="AB67" s="7">
        <f t="shared" si="42"/>
        <v>35.568731233310011</v>
      </c>
      <c r="AD67" s="7">
        <f t="shared" si="8"/>
        <v>38.316542221977166</v>
      </c>
      <c r="AE67">
        <f t="shared" si="9"/>
        <v>-2.346477286202564E-2</v>
      </c>
      <c r="AF67">
        <f t="shared" si="43"/>
        <v>-8.3843702482015066E-3</v>
      </c>
      <c r="AG67">
        <f t="shared" si="44"/>
        <v>-6.8112587564122444E-4</v>
      </c>
      <c r="AH67" s="75">
        <f t="shared" si="45"/>
        <v>-2.1113928194260723E-4</v>
      </c>
      <c r="AI67" s="7">
        <f t="shared" si="46"/>
        <v>34.780291794766207</v>
      </c>
      <c r="AJ67" s="7">
        <f t="shared" si="28"/>
        <v>35.096834016743372</v>
      </c>
      <c r="AK67" s="75">
        <f t="shared" si="47"/>
        <v>-2.1113928194260723E-4</v>
      </c>
      <c r="AL67">
        <f t="shared" si="48"/>
        <v>-5.9901601281037477E-3</v>
      </c>
      <c r="AM67">
        <f t="shared" si="49"/>
        <v>-8.1182816885970877E-4</v>
      </c>
      <c r="AN67" s="75">
        <f t="shared" si="32"/>
        <v>-3.4034419726935994E-10</v>
      </c>
      <c r="AO67" s="7">
        <f t="shared" si="50"/>
        <v>34.744959515098131</v>
      </c>
    </row>
    <row r="68" spans="2:41" x14ac:dyDescent="0.25">
      <c r="B68">
        <v>4.4000000000000004</v>
      </c>
      <c r="C68" s="7">
        <f t="shared" si="12"/>
        <v>38.166666666666671</v>
      </c>
      <c r="D68" s="7">
        <f t="shared" si="0"/>
        <v>38.991666666666674</v>
      </c>
      <c r="E68">
        <f t="shared" si="1"/>
        <v>-2.0039835925292238E-2</v>
      </c>
      <c r="F68">
        <f t="shared" si="51"/>
        <v>-8.8362529570863262E-3</v>
      </c>
      <c r="G68">
        <f t="shared" si="52"/>
        <v>-6.5774325275323763E-4</v>
      </c>
      <c r="H68" s="75">
        <f t="shared" si="34"/>
        <v>-9.2385118412252609E-5</v>
      </c>
      <c r="I68" s="7">
        <f t="shared" si="13"/>
        <v>35.666019919862912</v>
      </c>
      <c r="J68" s="7">
        <f t="shared" si="14"/>
        <v>36.491019919862914</v>
      </c>
      <c r="K68" s="75">
        <f t="shared" si="15"/>
        <v>-9.2385118412252609E-5</v>
      </c>
      <c r="L68">
        <f t="shared" si="16"/>
        <v>-7.0787561511484673E-3</v>
      </c>
      <c r="M68">
        <f t="shared" si="17"/>
        <v>-7.5097935135061953E-4</v>
      </c>
      <c r="N68" s="75">
        <f t="shared" si="18"/>
        <v>-1.5285106513829305E-11</v>
      </c>
      <c r="O68" s="7">
        <f t="shared" si="19"/>
        <v>35.652959833860145</v>
      </c>
      <c r="Q68" s="7">
        <f t="shared" si="4"/>
        <v>38.974616812149151</v>
      </c>
      <c r="R68">
        <f t="shared" si="5"/>
        <v>-2.019331682823533E-2</v>
      </c>
      <c r="S68">
        <f t="shared" si="35"/>
        <v>-8.8250336244484993E-3</v>
      </c>
      <c r="T68">
        <f t="shared" si="36"/>
        <v>-6.5831885198273812E-4</v>
      </c>
      <c r="U68" s="75">
        <f t="shared" si="37"/>
        <v>-9.5424886656703123E-5</v>
      </c>
      <c r="V68" s="7">
        <f t="shared" si="38"/>
        <v>35.640451429044234</v>
      </c>
      <c r="W68" s="7">
        <f t="shared" si="21"/>
        <v>36.448401574526713</v>
      </c>
      <c r="X68" s="75">
        <f t="shared" si="39"/>
        <v>-9.5424886656703123E-5</v>
      </c>
      <c r="Y68">
        <f t="shared" si="40"/>
        <v>-7.0467132304609034E-3</v>
      </c>
      <c r="Z68">
        <f t="shared" si="41"/>
        <v>-7.5273658665469232E-4</v>
      </c>
      <c r="AA68" s="75">
        <f t="shared" si="25"/>
        <v>-1.7136736474299141E-11</v>
      </c>
      <c r="AB68" s="7">
        <f t="shared" si="42"/>
        <v>35.62689986228191</v>
      </c>
      <c r="AD68" s="7">
        <f t="shared" si="8"/>
        <v>38.493525058108858</v>
      </c>
      <c r="AE68">
        <f t="shared" si="9"/>
        <v>-2.4603567198341336E-2</v>
      </c>
      <c r="AF68">
        <f t="shared" si="43"/>
        <v>-8.5043635921640756E-3</v>
      </c>
      <c r="AG68">
        <f t="shared" si="44"/>
        <v>-6.7487700825812254E-4</v>
      </c>
      <c r="AH68" s="75">
        <f t="shared" si="45"/>
        <v>-2.3172502438484344E-4</v>
      </c>
      <c r="AI68" s="7">
        <f t="shared" si="46"/>
        <v>34.832533066722178</v>
      </c>
      <c r="AJ68" s="7">
        <f t="shared" si="28"/>
        <v>35.159391458164365</v>
      </c>
      <c r="AK68" s="75">
        <f t="shared" si="47"/>
        <v>-2.3172502438484344E-4</v>
      </c>
      <c r="AL68">
        <f t="shared" si="48"/>
        <v>-6.0408556602847482E-3</v>
      </c>
      <c r="AM68">
        <f t="shared" si="49"/>
        <v>-8.0894184400908938E-4</v>
      </c>
      <c r="AN68" s="75">
        <f t="shared" si="32"/>
        <v>-4.3661030346697771E-10</v>
      </c>
      <c r="AO68" s="7">
        <f t="shared" si="50"/>
        <v>34.794074398294448</v>
      </c>
    </row>
    <row r="69" spans="2:41" x14ac:dyDescent="0.25">
      <c r="B69">
        <v>4.4800000000000004</v>
      </c>
      <c r="C69" s="7">
        <f t="shared" si="12"/>
        <v>38.333333333333336</v>
      </c>
      <c r="D69" s="7">
        <f t="shared" si="0"/>
        <v>39.173333333333339</v>
      </c>
      <c r="E69">
        <f t="shared" si="1"/>
        <v>-2.1138667248731924E-2</v>
      </c>
      <c r="F69">
        <f t="shared" si="51"/>
        <v>-8.9551888453322723E-3</v>
      </c>
      <c r="G69">
        <f t="shared" si="52"/>
        <v>-6.5165681863573973E-4</v>
      </c>
      <c r="H69" s="75">
        <f t="shared" si="34"/>
        <v>-1.0354615127949884E-4</v>
      </c>
      <c r="I69" s="7">
        <f t="shared" si="13"/>
        <v>35.725373287965411</v>
      </c>
      <c r="J69" s="7">
        <f t="shared" si="14"/>
        <v>36.565373287965414</v>
      </c>
      <c r="K69" s="75">
        <f t="shared" si="15"/>
        <v>-1.0354615127949884E-4</v>
      </c>
      <c r="L69">
        <f t="shared" si="16"/>
        <v>-7.1344804525812176E-3</v>
      </c>
      <c r="M69">
        <f t="shared" si="17"/>
        <v>-7.4792831876023666E-4</v>
      </c>
      <c r="N69" s="75">
        <f t="shared" si="18"/>
        <v>-2.0898394126334097E-11</v>
      </c>
      <c r="O69" s="7">
        <f t="shared" si="19"/>
        <v>35.71084874840173</v>
      </c>
      <c r="Q69" s="7">
        <f t="shared" si="4"/>
        <v>39.156123165708387</v>
      </c>
      <c r="R69">
        <f t="shared" si="5"/>
        <v>-2.1294213621418034E-2</v>
      </c>
      <c r="S69">
        <f t="shared" si="35"/>
        <v>-8.9439687929018449E-3</v>
      </c>
      <c r="T69">
        <f t="shared" si="36"/>
        <v>-6.522297858679182E-4</v>
      </c>
      <c r="U69" s="75">
        <f t="shared" si="37"/>
        <v>-1.0685068234073114E-4</v>
      </c>
      <c r="V69" s="7">
        <f t="shared" si="38"/>
        <v>35.699558822592934</v>
      </c>
      <c r="W69" s="7">
        <f t="shared" si="21"/>
        <v>36.522348654967985</v>
      </c>
      <c r="X69" s="75">
        <f t="shared" si="39"/>
        <v>-1.0685068234073114E-4</v>
      </c>
      <c r="Y69">
        <f t="shared" si="40"/>
        <v>-7.1022632027430282E-3</v>
      </c>
      <c r="Z69">
        <f t="shared" si="41"/>
        <v>-7.4969152933219616E-4</v>
      </c>
      <c r="AA69" s="75">
        <f t="shared" si="25"/>
        <v>-2.3362423107187169E-11</v>
      </c>
      <c r="AB69" s="7">
        <f t="shared" si="42"/>
        <v>35.684502261489094</v>
      </c>
      <c r="AD69" s="7">
        <f t="shared" si="8"/>
        <v>38.670507894240544</v>
      </c>
      <c r="AE69">
        <f t="shared" si="9"/>
        <v>-2.5763500879522505E-2</v>
      </c>
      <c r="AF69">
        <f t="shared" si="43"/>
        <v>-8.623258592014401E-3</v>
      </c>
      <c r="AG69">
        <f t="shared" si="44"/>
        <v>-6.6871374173305554E-4</v>
      </c>
      <c r="AH69" s="75">
        <f t="shared" si="45"/>
        <v>-2.5350580935290523E-4</v>
      </c>
      <c r="AI69" s="7">
        <f t="shared" si="46"/>
        <v>34.88445080810861</v>
      </c>
      <c r="AJ69" s="7">
        <f t="shared" si="28"/>
        <v>35.221625369015818</v>
      </c>
      <c r="AK69" s="75">
        <f t="shared" si="47"/>
        <v>-2.5350580935290523E-4</v>
      </c>
      <c r="AL69">
        <f t="shared" si="48"/>
        <v>-6.0911103215827087E-3</v>
      </c>
      <c r="AM69">
        <f t="shared" si="49"/>
        <v>-8.060856931401823E-4</v>
      </c>
      <c r="AN69" s="75">
        <f t="shared" si="32"/>
        <v>-5.5502691331810183E-10</v>
      </c>
      <c r="AO69" s="7">
        <f t="shared" si="50"/>
        <v>34.842716576708064</v>
      </c>
    </row>
    <row r="70" spans="2:41" x14ac:dyDescent="0.25">
      <c r="B70">
        <v>4.5600000000000005</v>
      </c>
      <c r="C70" s="7">
        <f t="shared" si="12"/>
        <v>38.5</v>
      </c>
      <c r="D70" s="7">
        <f t="shared" si="0"/>
        <v>39.354999999999997</v>
      </c>
      <c r="E70">
        <f t="shared" si="1"/>
        <v>-2.2259005288612466E-2</v>
      </c>
      <c r="F70">
        <f t="shared" si="51"/>
        <v>-9.0730266933614877E-3</v>
      </c>
      <c r="G70">
        <f t="shared" si="52"/>
        <v>-6.4565447661868046E-4</v>
      </c>
      <c r="H70" s="75">
        <f t="shared" si="34"/>
        <v>-1.1553271540920562E-4</v>
      </c>
      <c r="I70" s="7">
        <f t="shared" si="13"/>
        <v>35.784266373671663</v>
      </c>
      <c r="J70" s="7">
        <f t="shared" si="14"/>
        <v>36.63926637367166</v>
      </c>
      <c r="K70" s="75">
        <f t="shared" si="15"/>
        <v>-1.1553271540920562E-4</v>
      </c>
      <c r="L70">
        <f t="shared" si="16"/>
        <v>-7.1896357234860521E-3</v>
      </c>
      <c r="M70">
        <f t="shared" si="17"/>
        <v>-7.4491455748185956E-4</v>
      </c>
      <c r="N70" s="75">
        <f t="shared" si="18"/>
        <v>-2.8200997093108526E-11</v>
      </c>
      <c r="O70" s="7">
        <f t="shared" si="19"/>
        <v>35.76818363212039</v>
      </c>
      <c r="Q70" s="7">
        <f t="shared" si="4"/>
        <v>39.337629519267622</v>
      </c>
      <c r="R70">
        <f t="shared" si="5"/>
        <v>-2.2416598066413052E-2</v>
      </c>
      <c r="S70">
        <f t="shared" si="35"/>
        <v>-9.061806412316277E-3</v>
      </c>
      <c r="T70">
        <f t="shared" si="36"/>
        <v>-6.4622481118040327E-4</v>
      </c>
      <c r="U70" s="75">
        <f t="shared" si="37"/>
        <v>-1.1911347563287045E-4</v>
      </c>
      <c r="V70" s="7">
        <f t="shared" si="38"/>
        <v>35.758210402072933</v>
      </c>
      <c r="W70" s="7">
        <f t="shared" si="21"/>
        <v>36.595839921340556</v>
      </c>
      <c r="X70" s="75">
        <f t="shared" si="39"/>
        <v>-1.1911347563287045E-4</v>
      </c>
      <c r="Y70">
        <f t="shared" si="40"/>
        <v>-7.1572483400290793E-3</v>
      </c>
      <c r="Z70">
        <f t="shared" si="41"/>
        <v>-7.4668351209848671E-4</v>
      </c>
      <c r="AA70" s="75">
        <f t="shared" si="25"/>
        <v>-3.1441738101989358E-11</v>
      </c>
      <c r="AB70" s="7">
        <f t="shared" si="42"/>
        <v>35.741553573412354</v>
      </c>
      <c r="AD70" s="7">
        <f t="shared" si="8"/>
        <v>38.847490730372229</v>
      </c>
      <c r="AE70">
        <f t="shared" si="9"/>
        <v>-2.6944380849976524E-2</v>
      </c>
      <c r="AF70">
        <f t="shared" si="43"/>
        <v>-8.7410702593827688E-3</v>
      </c>
      <c r="AG70">
        <f t="shared" si="44"/>
        <v>-6.6263451969064246E-4</v>
      </c>
      <c r="AH70" s="75">
        <f t="shared" si="45"/>
        <v>-2.7650142149737711E-4</v>
      </c>
      <c r="AI70" s="7">
        <f t="shared" si="46"/>
        <v>34.936057985072246</v>
      </c>
      <c r="AJ70" s="7">
        <f t="shared" si="28"/>
        <v>35.283548715444475</v>
      </c>
      <c r="AK70" s="75">
        <f t="shared" si="47"/>
        <v>-2.7650142149737711E-4</v>
      </c>
      <c r="AL70">
        <f t="shared" si="48"/>
        <v>-6.1409382424498817E-3</v>
      </c>
      <c r="AM70">
        <f t="shared" si="49"/>
        <v>-8.032587823524073E-4</v>
      </c>
      <c r="AN70" s="75">
        <f t="shared" si="32"/>
        <v>-6.9955308212854561E-10</v>
      </c>
      <c r="AO70" s="7">
        <f t="shared" si="50"/>
        <v>34.890898682288345</v>
      </c>
    </row>
    <row r="71" spans="2:41" x14ac:dyDescent="0.25">
      <c r="B71">
        <v>4.6399999999999997</v>
      </c>
      <c r="C71" s="7">
        <f t="shared" si="12"/>
        <v>38.666666666666664</v>
      </c>
      <c r="D71" s="7">
        <f t="shared" si="0"/>
        <v>39.536666666666662</v>
      </c>
      <c r="E71">
        <f t="shared" si="1"/>
        <v>-2.3400651946732909E-2</v>
      </c>
      <c r="F71">
        <f t="shared" si="51"/>
        <v>-9.1897816372987079E-3</v>
      </c>
      <c r="G71">
        <f t="shared" si="52"/>
        <v>-6.3973468468234433E-4</v>
      </c>
      <c r="H71" s="75">
        <f t="shared" si="34"/>
        <v>-1.283669796259268E-4</v>
      </c>
      <c r="I71" s="7">
        <f t="shared" si="13"/>
        <v>35.842715022298883</v>
      </c>
      <c r="J71" s="7">
        <f t="shared" si="14"/>
        <v>36.71271502229888</v>
      </c>
      <c r="K71" s="75">
        <f t="shared" si="15"/>
        <v>-1.283669796259268E-4</v>
      </c>
      <c r="L71">
        <f t="shared" si="16"/>
        <v>-7.2442392305380014E-3</v>
      </c>
      <c r="M71">
        <f t="shared" si="17"/>
        <v>-7.4193693856766771E-4</v>
      </c>
      <c r="N71" s="75">
        <f t="shared" si="18"/>
        <v>-3.7597036595116151E-11</v>
      </c>
      <c r="O71" s="7">
        <f t="shared" si="19"/>
        <v>35.824979043514546</v>
      </c>
      <c r="Q71" s="7">
        <f t="shared" si="4"/>
        <v>39.519135872826865</v>
      </c>
      <c r="R71">
        <f t="shared" si="5"/>
        <v>-2.3560272327762144E-2</v>
      </c>
      <c r="S71">
        <f t="shared" si="35"/>
        <v>-9.1785616054003011E-3</v>
      </c>
      <c r="T71">
        <f t="shared" si="36"/>
        <v>-6.4030238658857868E-4</v>
      </c>
      <c r="U71" s="75">
        <f t="shared" si="37"/>
        <v>-1.3223538713913463E-4</v>
      </c>
      <c r="V71" s="7">
        <f t="shared" si="38"/>
        <v>35.81642191380341</v>
      </c>
      <c r="W71" s="7">
        <f t="shared" si="21"/>
        <v>36.668891119963611</v>
      </c>
      <c r="X71" s="75">
        <f t="shared" si="39"/>
        <v>-1.3223538713913463E-4</v>
      </c>
      <c r="Y71">
        <f t="shared" si="40"/>
        <v>-7.2116857996309645E-3</v>
      </c>
      <c r="Z71">
        <f t="shared" si="41"/>
        <v>-7.4371141281148593E-4</v>
      </c>
      <c r="AA71" s="75">
        <f t="shared" si="25"/>
        <v>-4.1813219553432646E-11</v>
      </c>
      <c r="AB71" s="7">
        <f t="shared" si="42"/>
        <v>35.798068278798787</v>
      </c>
      <c r="AD71" s="7">
        <f t="shared" si="8"/>
        <v>39.024473566503914</v>
      </c>
      <c r="AE71">
        <f t="shared" si="9"/>
        <v>-2.8146016686721342E-2</v>
      </c>
      <c r="AF71">
        <f t="shared" si="43"/>
        <v>-8.8578133335779456E-3</v>
      </c>
      <c r="AG71">
        <f t="shared" si="44"/>
        <v>-6.5663782096746866E-4</v>
      </c>
      <c r="AH71" s="75">
        <f t="shared" si="45"/>
        <v>-3.007304956588186E-4</v>
      </c>
      <c r="AI71" s="7">
        <f t="shared" si="46"/>
        <v>34.98736685858799</v>
      </c>
      <c r="AJ71" s="7">
        <f t="shared" si="28"/>
        <v>35.34517375842524</v>
      </c>
      <c r="AK71" s="75">
        <f t="shared" si="47"/>
        <v>-3.007304956588186E-4</v>
      </c>
      <c r="AL71">
        <f t="shared" si="48"/>
        <v>-6.1903527936669582E-3</v>
      </c>
      <c r="AM71">
        <f t="shared" si="49"/>
        <v>-8.0046022748094794E-4</v>
      </c>
      <c r="AN71" s="75">
        <f t="shared" si="32"/>
        <v>-8.7465279463572188E-10</v>
      </c>
      <c r="AO71" s="7">
        <f t="shared" si="50"/>
        <v>34.938632795148933</v>
      </c>
    </row>
    <row r="72" spans="2:41" x14ac:dyDescent="0.25">
      <c r="B72">
        <v>4.72</v>
      </c>
      <c r="C72" s="7">
        <f t="shared" si="12"/>
        <v>38.833333333333329</v>
      </c>
      <c r="D72" s="7">
        <f t="shared" si="0"/>
        <v>39.718333333333327</v>
      </c>
      <c r="E72">
        <f t="shared" si="1"/>
        <v>-2.4563411849371164E-2</v>
      </c>
      <c r="F72">
        <f t="shared" si="51"/>
        <v>-9.305468536345729E-3</v>
      </c>
      <c r="G72">
        <f t="shared" si="52"/>
        <v>-6.3389593599120304E-4</v>
      </c>
      <c r="H72" s="75">
        <f t="shared" si="34"/>
        <v>-1.4207023848711309E-4</v>
      </c>
      <c r="I72" s="7">
        <f t="shared" si="13"/>
        <v>35.900734328170721</v>
      </c>
      <c r="J72" s="7">
        <f t="shared" si="14"/>
        <v>36.785734328170719</v>
      </c>
      <c r="K72" s="75">
        <f t="shared" si="15"/>
        <v>-1.4207023848711309E-4</v>
      </c>
      <c r="L72">
        <f t="shared" si="16"/>
        <v>-7.2983074125430626E-3</v>
      </c>
      <c r="M72">
        <f t="shared" si="17"/>
        <v>-7.3899438748810256E-4</v>
      </c>
      <c r="N72" s="75">
        <f t="shared" si="18"/>
        <v>-4.9561243997686688E-11</v>
      </c>
      <c r="O72" s="7">
        <f t="shared" si="19"/>
        <v>35.881248915783729</v>
      </c>
      <c r="Q72" s="7">
        <f t="shared" si="4"/>
        <v>39.700642226386101</v>
      </c>
      <c r="R72">
        <f t="shared" si="5"/>
        <v>-2.4725041289679783E-2</v>
      </c>
      <c r="S72">
        <f t="shared" si="35"/>
        <v>-9.2942492183058951E-3</v>
      </c>
      <c r="T72">
        <f t="shared" si="36"/>
        <v>-6.3446100591397505E-4</v>
      </c>
      <c r="U72" s="75">
        <f t="shared" si="37"/>
        <v>-1.4623765395005428E-4</v>
      </c>
      <c r="V72" s="7">
        <f t="shared" si="38"/>
        <v>35.874208355560896</v>
      </c>
      <c r="W72" s="7">
        <f t="shared" si="21"/>
        <v>36.741517248613668</v>
      </c>
      <c r="X72" s="75">
        <f t="shared" si="39"/>
        <v>-1.4623765395005428E-4</v>
      </c>
      <c r="Y72">
        <f t="shared" si="40"/>
        <v>-7.2655919143329098E-3</v>
      </c>
      <c r="Z72">
        <f t="shared" si="41"/>
        <v>-7.4077416352161403E-4</v>
      </c>
      <c r="AA72" s="75">
        <f t="shared" si="25"/>
        <v>-5.4990678677313554E-11</v>
      </c>
      <c r="AB72" s="7">
        <f t="shared" si="42"/>
        <v>35.854060236441192</v>
      </c>
      <c r="AD72" s="7">
        <f t="shared" si="8"/>
        <v>39.2014564026356</v>
      </c>
      <c r="AE72">
        <f t="shared" si="9"/>
        <v>-2.9368220551735158E-2</v>
      </c>
      <c r="AF72">
        <f t="shared" si="43"/>
        <v>-8.9735022877344382E-3</v>
      </c>
      <c r="AG72">
        <f t="shared" si="44"/>
        <v>-6.5072215866041581E-4</v>
      </c>
      <c r="AH72" s="75">
        <f t="shared" si="45"/>
        <v>-3.2621054638948266E-4</v>
      </c>
      <c r="AI72" s="7">
        <f t="shared" si="46"/>
        <v>35.038389026755198</v>
      </c>
      <c r="AJ72" s="7">
        <f t="shared" si="28"/>
        <v>35.406512096057469</v>
      </c>
      <c r="AK72" s="75">
        <f t="shared" si="47"/>
        <v>-3.2621054638948266E-4</v>
      </c>
      <c r="AL72">
        <f t="shared" si="48"/>
        <v>-6.2393666342942904E-3</v>
      </c>
      <c r="AM72">
        <f t="shared" si="49"/>
        <v>-7.9768919089718171E-4</v>
      </c>
      <c r="AN72" s="75">
        <f t="shared" si="32"/>
        <v>-1.0853278276101719E-9</v>
      </c>
      <c r="AO72" s="7">
        <f t="shared" si="50"/>
        <v>34.985930476744535</v>
      </c>
    </row>
    <row r="73" spans="2:41" x14ac:dyDescent="0.25">
      <c r="B73">
        <v>4.8</v>
      </c>
      <c r="C73" s="7">
        <f t="shared" si="12"/>
        <v>39</v>
      </c>
      <c r="D73" s="7">
        <f t="shared" si="0"/>
        <v>39.9</v>
      </c>
      <c r="E73">
        <f t="shared" si="1"/>
        <v>-2.5747092297552898E-2</v>
      </c>
      <c r="F73">
        <f t="shared" si="51"/>
        <v>-9.4201019790856426E-3</v>
      </c>
      <c r="G73">
        <f t="shared" si="52"/>
        <v>-6.2813675793493764E-4</v>
      </c>
      <c r="H73" s="75">
        <f t="shared" si="34"/>
        <v>-1.5666291914095964E-4</v>
      </c>
      <c r="I73" s="7">
        <f t="shared" si="13"/>
        <v>35.958338676654307</v>
      </c>
      <c r="J73" s="7">
        <f t="shared" si="14"/>
        <v>36.858338676654306</v>
      </c>
      <c r="K73" s="75">
        <f t="shared" si="15"/>
        <v>-1.5666291914095964E-4</v>
      </c>
      <c r="L73">
        <f t="shared" si="16"/>
        <v>-7.3518559293703142E-3</v>
      </c>
      <c r="M73">
        <f t="shared" si="17"/>
        <v>-7.3608588084583891E-4</v>
      </c>
      <c r="N73" s="75">
        <f t="shared" si="18"/>
        <v>-6.4648730813132715E-11</v>
      </c>
      <c r="O73" s="7">
        <f t="shared" si="19"/>
        <v>35.93700659378387</v>
      </c>
      <c r="Q73" s="7">
        <f t="shared" si="4"/>
        <v>39.882148579945344</v>
      </c>
      <c r="R73">
        <f t="shared" si="5"/>
        <v>-2.5910712506429956E-2</v>
      </c>
      <c r="S73">
        <f t="shared" si="35"/>
        <v>-9.4088838269217011E-3</v>
      </c>
      <c r="T73">
        <f t="shared" si="36"/>
        <v>-6.2869919717355204E-4</v>
      </c>
      <c r="U73" s="75">
        <f t="shared" si="37"/>
        <v>-1.6114063717753702E-4</v>
      </c>
      <c r="V73" s="7">
        <f t="shared" si="38"/>
        <v>35.93158401852309</v>
      </c>
      <c r="W73" s="7">
        <f t="shared" si="21"/>
        <v>36.813732598468434</v>
      </c>
      <c r="X73" s="75">
        <f t="shared" si="39"/>
        <v>-1.6114063717753702E-4</v>
      </c>
      <c r="Y73">
        <f t="shared" si="40"/>
        <v>-7.3189822411762369E-3</v>
      </c>
      <c r="Z73">
        <f t="shared" si="41"/>
        <v>-7.3787074719621111E-4</v>
      </c>
      <c r="AA73" s="75">
        <f t="shared" si="25"/>
        <v>-7.1574079996139517E-11</v>
      </c>
      <c r="AB73" s="7">
        <f t="shared" si="42"/>
        <v>35.909542719935637</v>
      </c>
      <c r="AD73" s="7">
        <f t="shared" si="8"/>
        <v>39.378439238767292</v>
      </c>
      <c r="AE73">
        <f t="shared" si="9"/>
        <v>-3.0610807145382557E-2</v>
      </c>
      <c r="AF73">
        <f t="shared" si="43"/>
        <v>-9.0881513347939799E-3</v>
      </c>
      <c r="AG73">
        <f t="shared" si="44"/>
        <v>-6.4488607920486565E-4</v>
      </c>
      <c r="AH73" s="75">
        <f t="shared" si="45"/>
        <v>-3.5295799818113593E-4</v>
      </c>
      <c r="AI73" s="7">
        <f t="shared" si="46"/>
        <v>35.089135464219687</v>
      </c>
      <c r="AJ73" s="7">
        <f t="shared" si="28"/>
        <v>35.46757470298698</v>
      </c>
      <c r="AK73" s="75">
        <f t="shared" si="47"/>
        <v>-3.5295799818113593E-4</v>
      </c>
      <c r="AL73">
        <f t="shared" si="48"/>
        <v>-6.2879917561884068E-3</v>
      </c>
      <c r="AM73">
        <f t="shared" si="49"/>
        <v>-7.9494487854357752E-4</v>
      </c>
      <c r="AN73" s="75">
        <f t="shared" si="32"/>
        <v>-1.3371583840182666E-9</v>
      </c>
      <c r="AO73" s="7">
        <f t="shared" si="50"/>
        <v>35.032802800527961</v>
      </c>
    </row>
    <row r="74" spans="2:41" x14ac:dyDescent="0.25">
      <c r="B74">
        <v>4.88</v>
      </c>
      <c r="C74" s="7">
        <f t="shared" si="12"/>
        <v>39.166666666666664</v>
      </c>
      <c r="D74" s="7">
        <f t="shared" si="0"/>
        <v>40.081666666666663</v>
      </c>
      <c r="E74">
        <f t="shared" si="1"/>
        <v>-2.6951503218445305E-2</v>
      </c>
      <c r="F74">
        <f t="shared" si="51"/>
        <v>-9.5336962896155966E-3</v>
      </c>
      <c r="G74">
        <f t="shared" si="52"/>
        <v>-6.224557111998186E-4</v>
      </c>
      <c r="H74" s="75">
        <f t="shared" si="34"/>
        <v>-1.7216458999591566E-4</v>
      </c>
      <c r="I74" s="7">
        <f t="shared" si="13"/>
        <v>36.01554178336302</v>
      </c>
      <c r="J74" s="7">
        <f t="shared" si="14"/>
        <v>36.930541783363019</v>
      </c>
      <c r="K74" s="75">
        <f t="shared" si="15"/>
        <v>-1.7216458999591566E-4</v>
      </c>
      <c r="L74">
        <f t="shared" si="16"/>
        <v>-7.4048997074339096E-3</v>
      </c>
      <c r="M74">
        <f t="shared" si="17"/>
        <v>-7.3321044332618347E-4</v>
      </c>
      <c r="N74" s="75">
        <f t="shared" si="18"/>
        <v>-8.3503426395736824E-11</v>
      </c>
      <c r="O74" s="7">
        <f t="shared" si="19"/>
        <v>35.992264868221298</v>
      </c>
      <c r="Q74" s="7">
        <f t="shared" si="4"/>
        <v>40.063654933504587</v>
      </c>
      <c r="R74">
        <f t="shared" si="5"/>
        <v>-2.7117096153829623E-2</v>
      </c>
      <c r="S74">
        <f t="shared" si="35"/>
        <v>-9.5224797429950443E-3</v>
      </c>
      <c r="T74">
        <f t="shared" si="36"/>
        <v>-6.2301552165228765E-4</v>
      </c>
      <c r="U74" s="75">
        <f t="shared" si="37"/>
        <v>-1.7696383126430959E-4</v>
      </c>
      <c r="V74" s="7">
        <f t="shared" si="38"/>
        <v>35.988562526385714</v>
      </c>
      <c r="W74" s="7">
        <f t="shared" si="21"/>
        <v>36.885550793223636</v>
      </c>
      <c r="X74" s="75">
        <f t="shared" si="39"/>
        <v>-1.7696383126430959E-4</v>
      </c>
      <c r="Y74">
        <f t="shared" si="40"/>
        <v>-7.3718716068047162E-3</v>
      </c>
      <c r="Z74">
        <f t="shared" si="41"/>
        <v>-7.3500019467963502E-4</v>
      </c>
      <c r="AA74" s="75">
        <f t="shared" si="25"/>
        <v>-9.2258201078720958E-11</v>
      </c>
      <c r="AB74" s="7">
        <f t="shared" si="42"/>
        <v>35.964528451692757</v>
      </c>
      <c r="AD74" s="7">
        <f t="shared" si="8"/>
        <v>39.555422074898978</v>
      </c>
      <c r="AE74">
        <f t="shared" si="9"/>
        <v>-3.187359366087783E-2</v>
      </c>
      <c r="AF74">
        <f t="shared" si="43"/>
        <v>-9.2017744333264123E-3</v>
      </c>
      <c r="AG74">
        <f t="shared" si="44"/>
        <v>-6.3912816148171026E-4</v>
      </c>
      <c r="AH74" s="75">
        <f t="shared" si="45"/>
        <v>-3.8098821621912471E-4</v>
      </c>
      <c r="AI74" s="7">
        <f t="shared" si="46"/>
        <v>35.139616558954479</v>
      </c>
      <c r="AJ74" s="7">
        <f t="shared" si="28"/>
        <v>35.528371967186793</v>
      </c>
      <c r="AK74" s="75">
        <f t="shared" si="47"/>
        <v>-3.8098821621912471E-4</v>
      </c>
      <c r="AL74">
        <f t="shared" si="48"/>
        <v>-6.3362395253711984E-3</v>
      </c>
      <c r="AM74">
        <f t="shared" si="49"/>
        <v>-7.9222653718312647E-4</v>
      </c>
      <c r="AN74" s="75">
        <f t="shared" si="32"/>
        <v>-1.6363332910884765E-9</v>
      </c>
      <c r="AO74" s="7">
        <f t="shared" si="50"/>
        <v>35.079260380316171</v>
      </c>
    </row>
    <row r="75" spans="2:41" x14ac:dyDescent="0.25">
      <c r="B75">
        <v>4.96</v>
      </c>
      <c r="C75" s="7">
        <f t="shared" si="12"/>
        <v>39.333333333333336</v>
      </c>
      <c r="D75" s="7">
        <f t="shared" si="0"/>
        <v>40.263333333333335</v>
      </c>
      <c r="E75">
        <f t="shared" si="1"/>
        <v>-2.8176457117856657E-2</v>
      </c>
      <c r="F75">
        <f t="shared" si="51"/>
        <v>-9.6462655335135643E-3</v>
      </c>
      <c r="G75">
        <f t="shared" si="52"/>
        <v>-6.1685138886934576E-4</v>
      </c>
      <c r="H75" s="75">
        <f t="shared" si="34"/>
        <v>-1.8859397097203967E-4</v>
      </c>
      <c r="I75" s="7">
        <f t="shared" si="13"/>
        <v>36.072356730759182</v>
      </c>
      <c r="J75" s="7">
        <f t="shared" si="14"/>
        <v>37.002356730759182</v>
      </c>
      <c r="K75" s="75">
        <f t="shared" si="15"/>
        <v>-1.8859397097203967E-4</v>
      </c>
      <c r="L75">
        <f t="shared" si="16"/>
        <v>-7.4574529820160031E-3</v>
      </c>
      <c r="M75">
        <f t="shared" si="17"/>
        <v>-7.3036714486372572E-4</v>
      </c>
      <c r="N75" s="75">
        <f t="shared" si="18"/>
        <v>-1.0686629359213384E-10</v>
      </c>
      <c r="O75" s="7">
        <f t="shared" si="19"/>
        <v>36.04703600733383</v>
      </c>
      <c r="Q75" s="7">
        <f t="shared" si="4"/>
        <v>40.24516128706383</v>
      </c>
      <c r="R75">
        <f t="shared" si="5"/>
        <v>-2.8344004981849302E-2</v>
      </c>
      <c r="S75">
        <f t="shared" si="35"/>
        <v>-9.635051020088381E-3</v>
      </c>
      <c r="T75">
        <f t="shared" si="36"/>
        <v>-6.1740857300497827E-4</v>
      </c>
      <c r="U75" s="75">
        <f t="shared" si="37"/>
        <v>-1.9372587485633197E-4</v>
      </c>
      <c r="V75" s="7">
        <f t="shared" si="38"/>
        <v>36.045156871887301</v>
      </c>
      <c r="W75" s="7">
        <f t="shared" si="21"/>
        <v>36.956984825617795</v>
      </c>
      <c r="X75" s="75">
        <f t="shared" si="39"/>
        <v>-1.9372587485633197E-4</v>
      </c>
      <c r="Y75">
        <f t="shared" si="40"/>
        <v>-7.4242741496615625E-3</v>
      </c>
      <c r="Z75">
        <f t="shared" si="41"/>
        <v>-7.3216158186886846E-4</v>
      </c>
      <c r="AA75" s="75">
        <f t="shared" si="25"/>
        <v>-1.1784195841357814E-10</v>
      </c>
      <c r="AB75" s="7">
        <f t="shared" si="42"/>
        <v>36.019029634449019</v>
      </c>
      <c r="AD75" s="7">
        <f t="shared" si="8"/>
        <v>39.73240491103067</v>
      </c>
      <c r="AE75">
        <f t="shared" si="9"/>
        <v>-3.3156399739774134E-2</v>
      </c>
      <c r="AF75">
        <f t="shared" si="43"/>
        <v>-9.3143852931950495E-3</v>
      </c>
      <c r="AG75">
        <f t="shared" si="44"/>
        <v>-6.3344701595214182E-4</v>
      </c>
      <c r="AH75" s="75">
        <f t="shared" si="45"/>
        <v>-4.1031553746373461E-4</v>
      </c>
      <c r="AI75" s="7">
        <f t="shared" si="46"/>
        <v>35.189842146605301</v>
      </c>
      <c r="AJ75" s="7">
        <f t="shared" si="28"/>
        <v>35.588913724302635</v>
      </c>
      <c r="AK75" s="75">
        <f t="shared" si="47"/>
        <v>-4.1031553746373461E-4</v>
      </c>
      <c r="AL75">
        <f t="shared" si="48"/>
        <v>-6.3841207205075808E-3</v>
      </c>
      <c r="AM75">
        <f t="shared" si="49"/>
        <v>-7.8953345184554853E-4</v>
      </c>
      <c r="AN75" s="75">
        <f t="shared" si="32"/>
        <v>-1.9896897462956531E-9</v>
      </c>
      <c r="AO75" s="7">
        <f t="shared" si="50"/>
        <v>35.125313396572267</v>
      </c>
    </row>
    <row r="76" spans="2:41" x14ac:dyDescent="0.25">
      <c r="B76">
        <v>5.04</v>
      </c>
      <c r="C76" s="7">
        <f t="shared" si="12"/>
        <v>39.5</v>
      </c>
      <c r="D76" s="7">
        <f t="shared" si="0"/>
        <v>40.445</v>
      </c>
      <c r="E76">
        <f t="shared" si="1"/>
        <v>-2.9421769033799228E-2</v>
      </c>
      <c r="F76">
        <f t="shared" si="51"/>
        <v>-9.757823523644283E-3</v>
      </c>
      <c r="G76">
        <f t="shared" si="52"/>
        <v>-6.113224155531059E-4</v>
      </c>
      <c r="H76" s="75">
        <f t="shared" si="34"/>
        <v>-2.0596894514657293E-4</v>
      </c>
      <c r="I76" s="7">
        <f t="shared" si="13"/>
        <v>36.128796002369896</v>
      </c>
      <c r="J76" s="7">
        <f t="shared" si="14"/>
        <v>37.073796002369896</v>
      </c>
      <c r="K76" s="75">
        <f t="shared" si="15"/>
        <v>-2.0596894514657293E-4</v>
      </c>
      <c r="L76">
        <f t="shared" si="16"/>
        <v>-7.5095293366941283E-3</v>
      </c>
      <c r="M76">
        <f t="shared" si="17"/>
        <v>-7.2755509800699397E-4</v>
      </c>
      <c r="N76" s="75">
        <f t="shared" si="18"/>
        <v>-1.3558776323918664E-10</v>
      </c>
      <c r="O76" s="7">
        <f t="shared" si="19"/>
        <v>36.10133178628115</v>
      </c>
      <c r="Q76" s="7">
        <f t="shared" si="4"/>
        <v>40.426667640623066</v>
      </c>
      <c r="R76">
        <f t="shared" si="5"/>
        <v>-2.9591254268279688E-2</v>
      </c>
      <c r="S76">
        <f t="shared" si="35"/>
        <v>-9.7466114593752276E-3</v>
      </c>
      <c r="T76">
        <f t="shared" si="36"/>
        <v>-6.1187697638620368E-4</v>
      </c>
      <c r="U76" s="75">
        <f t="shared" si="37"/>
        <v>-2.114445630301276E-4</v>
      </c>
      <c r="V76" s="7">
        <f t="shared" si="38"/>
        <v>36.101379450952713</v>
      </c>
      <c r="W76" s="7">
        <f t="shared" si="21"/>
        <v>37.028047091575779</v>
      </c>
      <c r="X76" s="75">
        <f t="shared" si="39"/>
        <v>-2.114445630301276E-4</v>
      </c>
      <c r="Y76">
        <f t="shared" si="40"/>
        <v>-7.476203359299452E-3</v>
      </c>
      <c r="Z76">
        <f t="shared" si="41"/>
        <v>-7.2935402708652279E-4</v>
      </c>
      <c r="AA76" s="75">
        <f t="shared" si="25"/>
        <v>-1.4923906554997757E-10</v>
      </c>
      <c r="AB76" s="7">
        <f t="shared" si="42"/>
        <v>36.073057980500224</v>
      </c>
      <c r="AD76" s="7">
        <f t="shared" si="8"/>
        <v>39.909387747162356</v>
      </c>
      <c r="AE76">
        <f t="shared" si="9"/>
        <v>-3.4459047428433198E-2</v>
      </c>
      <c r="AF76">
        <f t="shared" si="43"/>
        <v>-9.4259973810712355E-3</v>
      </c>
      <c r="AG76">
        <f t="shared" si="44"/>
        <v>-6.2784128381924401E-4</v>
      </c>
      <c r="AH76" s="75">
        <f t="shared" si="45"/>
        <v>-4.4095330192361892E-4</v>
      </c>
      <c r="AI76" s="7">
        <f t="shared" si="46"/>
        <v>35.239821542592047</v>
      </c>
      <c r="AJ76" s="7">
        <f t="shared" si="28"/>
        <v>35.649209289754403</v>
      </c>
      <c r="AK76" s="75">
        <f t="shared" si="47"/>
        <v>-4.4095330192361892E-4</v>
      </c>
      <c r="AL76">
        <f t="shared" si="48"/>
        <v>-6.4316455687263852E-3</v>
      </c>
      <c r="AM76">
        <f t="shared" si="49"/>
        <v>-7.8686494345402418E-4</v>
      </c>
      <c r="AN76" s="75">
        <f t="shared" si="32"/>
        <v>-2.4047446256503235E-9</v>
      </c>
      <c r="AO76" s="7">
        <f t="shared" si="50"/>
        <v>35.170971620786887</v>
      </c>
    </row>
    <row r="77" spans="2:41" x14ac:dyDescent="0.25">
      <c r="B77">
        <v>5.12</v>
      </c>
      <c r="C77" s="7">
        <f t="shared" si="12"/>
        <v>39.666666666666671</v>
      </c>
      <c r="D77" s="7">
        <f t="shared" ref="D77:D141" si="53">$C$5*((1-$C$8-D$11)*$B77-D$11*$C$4*$C$6)+$C77</f>
        <v>40.626666666666672</v>
      </c>
      <c r="E77">
        <f t="shared" ref="E77:E141" si="54">1+LN(D77/$C$7)-($C77-E$11*$C$4*$C$6*$C$5)/$C$7</f>
        <v>-3.0687256491098491E-2</v>
      </c>
      <c r="F77">
        <f t="shared" si="51"/>
        <v>-9.8683838258094465E-3</v>
      </c>
      <c r="G77">
        <f t="shared" si="52"/>
        <v>-6.0586744654283402E-4</v>
      </c>
      <c r="H77" s="75">
        <f t="shared" si="34"/>
        <v>-2.2430657161032208E-4</v>
      </c>
      <c r="I77" s="7">
        <f t="shared" si="13"/>
        <v>36.184871514805522</v>
      </c>
      <c r="J77" s="7">
        <f t="shared" si="14"/>
        <v>37.144871514805523</v>
      </c>
      <c r="K77" s="75">
        <f t="shared" si="15"/>
        <v>-2.2430657161032208E-4</v>
      </c>
      <c r="L77">
        <f t="shared" si="16"/>
        <v>-7.5611417401086727E-3</v>
      </c>
      <c r="M77">
        <f t="shared" si="17"/>
        <v>-7.2477345546478281E-4</v>
      </c>
      <c r="N77" s="75">
        <f t="shared" si="18"/>
        <v>-1.7063284118989941E-10</v>
      </c>
      <c r="O77" s="7">
        <f t="shared" si="19"/>
        <v>36.155163514443011</v>
      </c>
      <c r="Q77" s="7">
        <f t="shared" ref="Q77:Q141" si="55">$C$5*((1-$C$8-Q$11)*$B77-Q$11*$C$4*$C$6)+$C77</f>
        <v>40.608173994182316</v>
      </c>
      <c r="R77">
        <f t="shared" ref="R77:R141" si="56">1+LN(Q77/$C$7)-($C77-R$11*$C$4*$C$6*$C$5)/$C$7</f>
        <v>-3.0858661773432772E-2</v>
      </c>
      <c r="S77">
        <f t="shared" si="35"/>
        <v>-9.8571746152806977E-3</v>
      </c>
      <c r="T77">
        <f t="shared" si="36"/>
        <v>-6.0641938760745348E-4</v>
      </c>
      <c r="U77" s="75">
        <f t="shared" si="37"/>
        <v>-2.301368607136034E-4</v>
      </c>
      <c r="V77" s="7">
        <f t="shared" si="38"/>
        <v>36.157242094645895</v>
      </c>
      <c r="W77" s="7">
        <f t="shared" si="21"/>
        <v>37.098749422161539</v>
      </c>
      <c r="X77" s="75">
        <f t="shared" si="39"/>
        <v>-2.301368607136034E-4</v>
      </c>
      <c r="Y77">
        <f t="shared" si="40"/>
        <v>-7.5276721130395144E-3</v>
      </c>
      <c r="Z77">
        <f t="shared" si="41"/>
        <v>-7.2657668863490273E-4</v>
      </c>
      <c r="AA77" s="75">
        <f t="shared" si="25"/>
        <v>-1.8748758101594376E-10</v>
      </c>
      <c r="AB77" s="7">
        <f t="shared" si="42"/>
        <v>36.126624738853593</v>
      </c>
      <c r="AD77" s="7">
        <f t="shared" ref="AD77:AD141" si="57">$C$5*((1-$C$8-AD$11)*$B77-AD$11*$C$4*$C$6)+$C77</f>
        <v>40.086370583294048</v>
      </c>
      <c r="AE77">
        <f t="shared" ref="AE77:AE141" si="58">1+LN(AD77/$C$7)-($C77-AE$11*$C$4*$C$6*$C$5)/$C$7</f>
        <v>-3.5781361135463374E-2</v>
      </c>
      <c r="AF77">
        <f t="shared" si="43"/>
        <v>-9.5366239258028868E-3</v>
      </c>
      <c r="AG77">
        <f t="shared" si="44"/>
        <v>-6.2230963621543334E-4</v>
      </c>
      <c r="AH77" s="75">
        <f t="shared" si="45"/>
        <v>-4.7291388397074918E-4</v>
      </c>
      <c r="AI77" s="7">
        <f t="shared" si="46"/>
        <v>35.289563572135194</v>
      </c>
      <c r="AJ77" s="7">
        <f t="shared" si="28"/>
        <v>35.709267488762571</v>
      </c>
      <c r="AK77" s="75">
        <f t="shared" si="47"/>
        <v>-4.7291388397074918E-4</v>
      </c>
      <c r="AL77">
        <f t="shared" si="48"/>
        <v>-6.4788237789936663E-3</v>
      </c>
      <c r="AM77">
        <f t="shared" si="49"/>
        <v>-7.8422036661795461E-4</v>
      </c>
      <c r="AN77" s="75">
        <f t="shared" si="32"/>
        <v>-2.8897300108354784E-9</v>
      </c>
      <c r="AO77" s="7">
        <f t="shared" si="50"/>
        <v>35.216244438124427</v>
      </c>
    </row>
    <row r="78" spans="2:41" x14ac:dyDescent="0.25">
      <c r="B78">
        <v>5.2</v>
      </c>
      <c r="C78" s="7">
        <f t="shared" ref="C78:C141" si="59">$B78*(C$11-$C$7)/C$10+$C$7</f>
        <v>39.833333333333336</v>
      </c>
      <c r="D78" s="7">
        <f t="shared" si="53"/>
        <v>40.808333333333337</v>
      </c>
      <c r="E78">
        <f t="shared" si="54"/>
        <v>-3.1972739457007071E-2</v>
      </c>
      <c r="F78">
        <f t="shared" si="51"/>
        <v>-9.9779597642469381E-3</v>
      </c>
      <c r="G78">
        <f t="shared" si="52"/>
        <v>-6.0048516699471634E-4</v>
      </c>
      <c r="H78" s="75">
        <f t="shared" si="34"/>
        <v>-2.4362309937164817E-4</v>
      </c>
      <c r="I78" s="7">
        <f t="shared" ref="I78:I122" si="60">$C78-IF(E78=0,0,(F78/G78)*(1-SQRT(1-2*E78*G78/(F78^2))))</f>
        <v>36.240594647754435</v>
      </c>
      <c r="J78" s="7">
        <f t="shared" ref="J78:J141" si="61">$C$5*((1-$C$8-J$11)*$B78-J$11*$C$4*$C$6)+I78</f>
        <v>37.215594647754436</v>
      </c>
      <c r="K78" s="75">
        <f t="shared" ref="K78:K122" si="62">H78</f>
        <v>-2.4362309937164817E-4</v>
      </c>
      <c r="L78">
        <f t="shared" ref="L78:L122" si="63">1/J78-1/$C$7</f>
        <v>-7.6123025802851164E-3</v>
      </c>
      <c r="M78">
        <f t="shared" ref="M78:M122" si="64">-(J78^(-2))</f>
        <v>-7.2202140781931282E-4</v>
      </c>
      <c r="N78" s="75">
        <f t="shared" ref="N78:N141" si="65">1+LN(($C$5*((1-$C$8-N$11)*$B78-N$11*$C$4*$C$6)+O78)/$C$7)-(O78-N$11*$C$4*$C$6*$C$5)/$C$7</f>
        <v>-2.1309509712352792E-10</v>
      </c>
      <c r="O78" s="7">
        <f t="shared" ref="O78:O122" si="66">I78-IF(K78=0,0,(L78/M78)*(1-SQRT(1-2*K78*M78/(L78^2))))</f>
        <v>36.20854206080557</v>
      </c>
      <c r="Q78" s="7">
        <f t="shared" si="55"/>
        <v>40.789680347741552</v>
      </c>
      <c r="R78">
        <f t="shared" si="56"/>
        <v>-3.2146047695859714E-2</v>
      </c>
      <c r="S78">
        <f t="shared" si="35"/>
        <v>-9.9667538009713709E-3</v>
      </c>
      <c r="T78">
        <f t="shared" si="36"/>
        <v>-6.0103449232045E-4</v>
      </c>
      <c r="U78" s="75">
        <f t="shared" si="37"/>
        <v>-2.4981891711250981E-4</v>
      </c>
      <c r="V78" s="7">
        <f t="shared" si="38"/>
        <v>36.21275609910181</v>
      </c>
      <c r="W78" s="7">
        <f t="shared" ref="W78:W141" si="67">$C$5*((1-$C$8-W$11)*$B78-W$11*$C$4*$C$6)+V78</f>
        <v>37.169103113510026</v>
      </c>
      <c r="X78" s="75">
        <f t="shared" si="39"/>
        <v>-2.4981891711250981E-4</v>
      </c>
      <c r="Y78">
        <f t="shared" si="40"/>
        <v>-7.578692710190852E-3</v>
      </c>
      <c r="Z78">
        <f t="shared" si="41"/>
        <v>-7.2382876251646374E-4</v>
      </c>
      <c r="AA78" s="75">
        <f t="shared" ref="AA78:AA141" si="68">1+LN(($C$5*((1-$C$8-AA$11)*$B78-AA$11*$C$4*$C$6)+AB78)/$C$7)-(AB78-AA$11*$C$4*$C$6*$C$5)/$C$7</f>
        <v>-2.3376056645929566E-10</v>
      </c>
      <c r="AB78" s="7">
        <f t="shared" si="42"/>
        <v>36.179740720478264</v>
      </c>
      <c r="AD78" s="7">
        <f t="shared" si="57"/>
        <v>40.263353419425734</v>
      </c>
      <c r="AE78">
        <f t="shared" si="58"/>
        <v>-3.7123167590092931E-2</v>
      </c>
      <c r="AF78">
        <f t="shared" si="43"/>
        <v>-9.6462779236413769E-3</v>
      </c>
      <c r="AG78">
        <f t="shared" si="44"/>
        <v>-6.1685077341485175E-4</v>
      </c>
      <c r="AH78" s="75">
        <f t="shared" si="45"/>
        <v>-5.0620872358164704E-4</v>
      </c>
      <c r="AI78" s="7">
        <f t="shared" si="46"/>
        <v>35.339076598363313</v>
      </c>
      <c r="AJ78" s="7">
        <f t="shared" ref="AJ78:AJ141" si="69">$C$5*((1-$C$8-AJ$11)*$B78-AJ$11*$C$4*$C$6)+AI78</f>
        <v>35.769096684455711</v>
      </c>
      <c r="AK78" s="75">
        <f t="shared" si="47"/>
        <v>-5.0620872358164704E-4</v>
      </c>
      <c r="AL78">
        <f t="shared" si="48"/>
        <v>-6.5256645732301582E-3</v>
      </c>
      <c r="AM78">
        <f t="shared" si="49"/>
        <v>-7.8159910757849527E-4</v>
      </c>
      <c r="AN78" s="75">
        <f t="shared" ref="AN78:AN141" si="70">1+LN(($C$5*((1-$C$8-AN$11)*$B78-AN$11*$C$4*$C$6)+AO78)/$C$7)-(AO78-AN$11*$C$4*$C$6*$C$5)/$C$7</f>
        <v>-3.4536236093174466E-9</v>
      </c>
      <c r="AO78" s="7">
        <f t="shared" si="50"/>
        <v>35.261140868482713</v>
      </c>
    </row>
    <row r="79" spans="2:41" x14ac:dyDescent="0.25">
      <c r="B79">
        <v>5.28</v>
      </c>
      <c r="C79" s="7">
        <f t="shared" si="59"/>
        <v>40</v>
      </c>
      <c r="D79" s="7">
        <f t="shared" si="53"/>
        <v>40.99</v>
      </c>
      <c r="E79">
        <f t="shared" si="54"/>
        <v>-3.3278040297814115E-2</v>
      </c>
      <c r="F79">
        <f t="shared" si="51"/>
        <v>-1.0086564426983875E-2</v>
      </c>
      <c r="G79">
        <f t="shared" si="52"/>
        <v>-5.9517429113700357E-4</v>
      </c>
      <c r="H79" s="75">
        <f t="shared" ref="H79:H122" si="71">1+LN(($C$5*((1-$C$8-H$11)*$B79-D$11*$C$4*$C$6)+I79)/$C$7)-(I79-H$11*$C$4*$C$6*$C$5)/$C$7</f>
        <v>-2.6393398215218689E-4</v>
      </c>
      <c r="I79" s="7">
        <f t="shared" si="60"/>
        <v>36.295976272107659</v>
      </c>
      <c r="J79" s="7">
        <f t="shared" si="61"/>
        <v>37.285976272107661</v>
      </c>
      <c r="K79" s="75">
        <f t="shared" si="62"/>
        <v>-2.6393398215218689E-4</v>
      </c>
      <c r="L79">
        <f t="shared" si="63"/>
        <v>-7.6630236967025582E-3</v>
      </c>
      <c r="M79">
        <f t="shared" si="64"/>
        <v>-7.1929818139293306E-4</v>
      </c>
      <c r="N79" s="75">
        <f t="shared" si="65"/>
        <v>-2.6420443610675193E-10</v>
      </c>
      <c r="O79" s="7">
        <f t="shared" si="66"/>
        <v>36.261477877595894</v>
      </c>
      <c r="Q79" s="7">
        <f t="shared" si="55"/>
        <v>40.971186701300788</v>
      </c>
      <c r="R79">
        <f t="shared" si="56"/>
        <v>-3.3453234629045037E-2</v>
      </c>
      <c r="S79">
        <f t="shared" ref="S79:S122" si="72">1/Q79-1/$C$7</f>
        <v>-1.0075362093699355E-2</v>
      </c>
      <c r="T79">
        <f t="shared" ref="T79:T122" si="73">-(Q79^(-2))</f>
        <v>-5.9572100522573815E-4</v>
      </c>
      <c r="U79" s="75">
        <f t="shared" ref="U79:U122" si="74">1+LN(($C$5*((1-$C$8-U$11)*$B79-Q$11*$C$4*$C$6)+V79)/$C$7)-(V79-U$11*$C$4*$C$6*$C$5)/$C$7</f>
        <v>-2.7050608101686358E-4</v>
      </c>
      <c r="V79" s="7">
        <f t="shared" ref="V79:V122" si="75">$C79-IF(R79=0,0,(S79/T79)*(1-SQRT(1-2*R79*T79/(S79^2))))</f>
        <v>36.267932253594701</v>
      </c>
      <c r="W79" s="7">
        <f t="shared" si="67"/>
        <v>37.239118954895488</v>
      </c>
      <c r="X79" s="75">
        <f t="shared" ref="X79:X122" si="76">U79</f>
        <v>-2.7050608101686358E-4</v>
      </c>
      <c r="Y79">
        <f t="shared" ref="Y79:Y122" si="77">1/W79-1/$C$7</f>
        <v>-7.6292769040246303E-3</v>
      </c>
      <c r="Z79">
        <f t="shared" ref="Z79:Z122" si="78">-(W79^(-2))</f>
        <v>-7.2110948030726276E-4</v>
      </c>
      <c r="AA79" s="75">
        <f t="shared" si="68"/>
        <v>-2.8937496843184363E-10</v>
      </c>
      <c r="AB79" s="7">
        <f t="shared" ref="AB79:AB122" si="79">V79-IF(X79=0,0,(Y79/Z79)*(1-SQRT(1-2*X79*Z79/(Y79^2))))</f>
        <v>36.232416321813467</v>
      </c>
      <c r="AD79" s="7">
        <f t="shared" si="57"/>
        <v>40.440336255557419</v>
      </c>
      <c r="AE79">
        <f t="shared" si="58"/>
        <v>-3.8484295801457291E-2</v>
      </c>
      <c r="AF79">
        <f t="shared" ref="AF79:AF122" si="80">1/AD79-1/$C$7</f>
        <v>-9.7549721433312399E-3</v>
      </c>
      <c r="AG79">
        <f t="shared" ref="AG79:AG122" si="81">-(AD79^(-2))</f>
        <v>-6.1146342406982973E-4</v>
      </c>
      <c r="AH79" s="75">
        <f t="shared" ref="AH79:AH122" si="82">1+LN(($C$5*((1-$C$8-AH$11)*$B79-AD$11*$C$4*$C$6)+AI79)/$C$7)-(AI79-AH$11*$C$4*$C$6*$C$5)/$C$7</f>
        <v>-5.4084835739764969E-4</v>
      </c>
      <c r="AI79" s="7">
        <f t="shared" ref="AI79:AI122" si="83">$C79-IF(AE79=0,0,(AF79/AG79)*(1-SQRT(1-2*AE79*AG79/(AF79^2))))</f>
        <v>35.388368548642646</v>
      </c>
      <c r="AJ79" s="7">
        <f t="shared" si="69"/>
        <v>35.828704804200065</v>
      </c>
      <c r="AK79" s="75">
        <f t="shared" ref="AK79:AK122" si="84">AH79</f>
        <v>-5.4084835739764969E-4</v>
      </c>
      <c r="AL79">
        <f t="shared" ref="AL79:AL122" si="85">1/AJ79-1/$C$7</f>
        <v>-6.5721767153461563E-3</v>
      </c>
      <c r="AM79">
        <f t="shared" ref="AM79:AM122" si="86">-(AJ79^(-2))</f>
        <v>-7.7900058229488783E-4</v>
      </c>
      <c r="AN79" s="75">
        <f t="shared" si="70"/>
        <v>-4.106181838992029E-9</v>
      </c>
      <c r="AO79" s="7">
        <f t="shared" ref="AO79:AO122" si="87">AI79-IF(AK79=0,0,(AL79/AM79)*(1-SQRT(1-2*AK79*AM79/(AL79^2))))</f>
        <v>35.305669586099725</v>
      </c>
    </row>
    <row r="80" spans="2:41" x14ac:dyDescent="0.25">
      <c r="B80">
        <v>5.36</v>
      </c>
      <c r="C80" s="7">
        <f t="shared" si="59"/>
        <v>40.166666666666671</v>
      </c>
      <c r="D80" s="7">
        <f t="shared" si="53"/>
        <v>41.171666666666674</v>
      </c>
      <c r="E80">
        <f t="shared" si="54"/>
        <v>-3.4602983736404802E-2</v>
      </c>
      <c r="F80">
        <f t="shared" si="51"/>
        <v>-1.0194210671047914E-2</v>
      </c>
      <c r="G80">
        <f t="shared" si="52"/>
        <v>-5.8993356150204598E-4</v>
      </c>
      <c r="H80" s="75">
        <f t="shared" si="71"/>
        <v>-2.8525389394729039E-4</v>
      </c>
      <c r="I80" s="7">
        <f t="shared" si="60"/>
        <v>36.351026776356747</v>
      </c>
      <c r="J80" s="7">
        <f t="shared" si="61"/>
        <v>37.35602677635675</v>
      </c>
      <c r="K80" s="75">
        <f t="shared" si="62"/>
        <v>-2.8525389394729039E-4</v>
      </c>
      <c r="L80">
        <f t="shared" si="63"/>
        <v>-7.7133164102852932E-3</v>
      </c>
      <c r="M80">
        <f t="shared" si="64"/>
        <v>-7.1660303625617884E-4</v>
      </c>
      <c r="N80" s="75">
        <f t="shared" si="65"/>
        <v>-3.253382008239214E-10</v>
      </c>
      <c r="O80" s="7">
        <f t="shared" si="66"/>
        <v>36.313981022310962</v>
      </c>
      <c r="Q80" s="7">
        <f t="shared" si="55"/>
        <v>41.152693054860038</v>
      </c>
      <c r="R80">
        <f t="shared" si="56"/>
        <v>-3.4780047519063384E-2</v>
      </c>
      <c r="S80">
        <f t="shared" si="72"/>
        <v>-1.0183012340004814E-2</v>
      </c>
      <c r="T80">
        <f t="shared" si="73"/>
        <v>-5.9047766930565664E-4</v>
      </c>
      <c r="U80" s="75">
        <f t="shared" si="74"/>
        <v>-2.9221291683012574E-4</v>
      </c>
      <c r="V80" s="7">
        <f t="shared" si="75"/>
        <v>36.322780866881303</v>
      </c>
      <c r="W80" s="7">
        <f t="shared" si="67"/>
        <v>37.308807255074669</v>
      </c>
      <c r="X80" s="75">
        <f t="shared" si="76"/>
        <v>-2.9221291683012574E-4</v>
      </c>
      <c r="Y80">
        <f t="shared" si="77"/>
        <v>-7.6794359316754678E-3</v>
      </c>
      <c r="Z80">
        <f t="shared" si="78"/>
        <v>-7.1841810717142274E-4</v>
      </c>
      <c r="AA80" s="75">
        <f t="shared" si="68"/>
        <v>-3.5580582924410464E-10</v>
      </c>
      <c r="AB80" s="7">
        <f t="shared" si="79"/>
        <v>36.284661546679885</v>
      </c>
      <c r="AD80" s="7">
        <f t="shared" si="57"/>
        <v>40.617319091689112</v>
      </c>
      <c r="AE80">
        <f t="shared" si="58"/>
        <v>-3.9864577018774883E-2</v>
      </c>
      <c r="AF80">
        <f t="shared" si="80"/>
        <v>-9.8627191310667571E-3</v>
      </c>
      <c r="AG80">
        <f t="shared" si="81"/>
        <v>-6.0614634447059095E-4</v>
      </c>
      <c r="AH80" s="75">
        <f t="shared" si="82"/>
        <v>-5.7684244950895192E-4</v>
      </c>
      <c r="AI80" s="7">
        <f t="shared" si="83"/>
        <v>35.437446939257654</v>
      </c>
      <c r="AJ80" s="7">
        <f t="shared" si="69"/>
        <v>35.888099364280095</v>
      </c>
      <c r="AK80" s="75">
        <f t="shared" si="84"/>
        <v>-5.7684244950895192E-4</v>
      </c>
      <c r="AL80">
        <f t="shared" si="85"/>
        <v>-6.6183685383518487E-3</v>
      </c>
      <c r="AM80">
        <f t="shared" si="86"/>
        <v>-7.7642423466068547E-4</v>
      </c>
      <c r="AN80" s="75">
        <f t="shared" si="70"/>
        <v>-4.8579680278493242E-9</v>
      </c>
      <c r="AO80" s="7">
        <f t="shared" si="87"/>
        <v>35.349838937828501</v>
      </c>
    </row>
    <row r="81" spans="2:41" x14ac:dyDescent="0.25">
      <c r="B81">
        <v>5.44</v>
      </c>
      <c r="C81" s="7">
        <f t="shared" si="59"/>
        <v>40.333333333333336</v>
      </c>
      <c r="D81" s="7">
        <f t="shared" si="53"/>
        <v>41.353333333333339</v>
      </c>
      <c r="E81">
        <f t="shared" si="54"/>
        <v>-3.5947396810761756E-2</v>
      </c>
      <c r="F81">
        <f t="shared" si="51"/>
        <v>-1.0300911127541182E-2</v>
      </c>
      <c r="G81">
        <f t="shared" si="52"/>
        <v>-5.8476174818189116E-4</v>
      </c>
      <c r="H81" s="75">
        <f t="shared" si="71"/>
        <v>-3.0759674521552149E-4</v>
      </c>
      <c r="I81" s="7">
        <f t="shared" si="60"/>
        <v>36.405756091391005</v>
      </c>
      <c r="J81" s="7">
        <f t="shared" si="61"/>
        <v>37.425756091391008</v>
      </c>
      <c r="K81" s="75">
        <f t="shared" si="62"/>
        <v>-3.0759674521552149E-4</v>
      </c>
      <c r="L81">
        <f t="shared" si="63"/>
        <v>-7.7631915514747574E-3</v>
      </c>
      <c r="M81">
        <f t="shared" si="64"/>
        <v>-7.1393526436627319E-4</v>
      </c>
      <c r="N81" s="75">
        <f t="shared" si="65"/>
        <v>-3.9803138562888307E-10</v>
      </c>
      <c r="O81" s="7">
        <f t="shared" si="66"/>
        <v>36.366061178272062</v>
      </c>
      <c r="Q81" s="7">
        <f t="shared" si="55"/>
        <v>41.334199408419273</v>
      </c>
      <c r="R81">
        <f t="shared" si="56"/>
        <v>-3.6126313623163098E-2</v>
      </c>
      <c r="S81">
        <f t="shared" si="72"/>
        <v>-1.0289717160781465E-2</v>
      </c>
      <c r="T81">
        <f t="shared" si="73"/>
        <v>-5.8530325508083657E-4</v>
      </c>
      <c r="U81" s="75">
        <f t="shared" si="74"/>
        <v>-3.1495322121899427E-4</v>
      </c>
      <c r="V81" s="7">
        <f t="shared" si="75"/>
        <v>36.377311791948301</v>
      </c>
      <c r="W81" s="7">
        <f t="shared" si="67"/>
        <v>37.378177867034239</v>
      </c>
      <c r="X81" s="75">
        <f t="shared" si="76"/>
        <v>-3.1495322121899427E-4</v>
      </c>
      <c r="Y81">
        <f t="shared" si="77"/>
        <v>-7.7291805421297564E-3</v>
      </c>
      <c r="Z81">
        <f t="shared" si="78"/>
        <v>-7.1575394000560077E-4</v>
      </c>
      <c r="AA81" s="75">
        <f t="shared" si="68"/>
        <v>-4.3469361443726484E-10</v>
      </c>
      <c r="AB81" s="7">
        <f t="shared" si="79"/>
        <v>36.336486026723691</v>
      </c>
      <c r="AD81" s="7">
        <f t="shared" si="57"/>
        <v>40.794301927820797</v>
      </c>
      <c r="AE81">
        <f t="shared" si="58"/>
        <v>-4.1263844692387641E-2</v>
      </c>
      <c r="AF81">
        <f t="shared" si="80"/>
        <v>-9.9695312153195333E-3</v>
      </c>
      <c r="AG81">
        <f t="shared" si="81"/>
        <v>-6.0089831782738886E-4</v>
      </c>
      <c r="AH81" s="75">
        <f t="shared" si="82"/>
        <v>-6.141998218907041E-4</v>
      </c>
      <c r="AI81" s="7">
        <f t="shared" si="83"/>
        <v>35.486318898560363</v>
      </c>
      <c r="AJ81" s="7">
        <f t="shared" si="69"/>
        <v>35.947287493047824</v>
      </c>
      <c r="AK81" s="75">
        <f t="shared" si="84"/>
        <v>-6.141998218907041E-4</v>
      </c>
      <c r="AL81">
        <f t="shared" si="85"/>
        <v>-6.6642479696871516E-3</v>
      </c>
      <c r="AM81">
        <f t="shared" si="86"/>
        <v>-7.7386953483993975E-4</v>
      </c>
      <c r="AN81" s="75">
        <f t="shared" si="70"/>
        <v>-5.7203821679507882E-9</v>
      </c>
      <c r="AO81" s="7">
        <f t="shared" si="87"/>
        <v>35.393656960188054</v>
      </c>
    </row>
    <row r="82" spans="2:41" x14ac:dyDescent="0.25">
      <c r="B82">
        <v>5.5200000000000005</v>
      </c>
      <c r="C82" s="7">
        <f t="shared" si="59"/>
        <v>40.5</v>
      </c>
      <c r="D82" s="7">
        <f t="shared" si="53"/>
        <v>41.534999999999997</v>
      </c>
      <c r="E82">
        <f t="shared" si="54"/>
        <v>-3.7311108833370188E-2</v>
      </c>
      <c r="F82">
        <f t="shared" si="51"/>
        <v>-1.0406678206581071E-2</v>
      </c>
      <c r="G82">
        <f t="shared" si="52"/>
        <v>-5.7965764810662297E-4</v>
      </c>
      <c r="H82" s="75">
        <f t="shared" si="71"/>
        <v>-3.3097569959683604E-4</v>
      </c>
      <c r="I82" s="7">
        <f t="shared" si="60"/>
        <v>36.46017371381221</v>
      </c>
      <c r="J82" s="7">
        <f t="shared" si="61"/>
        <v>37.495173713812207</v>
      </c>
      <c r="K82" s="75">
        <f t="shared" si="62"/>
        <v>-3.3097569959683604E-4</v>
      </c>
      <c r="L82">
        <f t="shared" si="63"/>
        <v>-7.8126594865275678E-3</v>
      </c>
      <c r="M82">
        <f t="shared" si="64"/>
        <v>-7.1129418782603338E-4</v>
      </c>
      <c r="N82" s="75">
        <f t="shared" si="65"/>
        <v>-4.8398618446299224E-10</v>
      </c>
      <c r="O82" s="7">
        <f t="shared" si="66"/>
        <v>36.417727673823357</v>
      </c>
      <c r="Q82" s="7">
        <f t="shared" si="55"/>
        <v>41.515705761978509</v>
      </c>
      <c r="R82">
        <f t="shared" si="56"/>
        <v>-3.7491862469261505E-2</v>
      </c>
      <c r="S82">
        <f t="shared" si="72"/>
        <v>-1.0395488956209231E-2</v>
      </c>
      <c r="T82">
        <f t="shared" si="73"/>
        <v>-5.8019655988939879E-4</v>
      </c>
      <c r="U82" s="75">
        <f t="shared" si="74"/>
        <v>-3.3874004024991855E-4</v>
      </c>
      <c r="V82" s="7">
        <f t="shared" si="75"/>
        <v>36.431534449278935</v>
      </c>
      <c r="W82" s="7">
        <f t="shared" si="67"/>
        <v>37.447240211257444</v>
      </c>
      <c r="X82" s="75">
        <f t="shared" si="76"/>
        <v>-3.3874004024991855E-4</v>
      </c>
      <c r="Y82">
        <f t="shared" si="77"/>
        <v>-7.7785210224439356E-3</v>
      </c>
      <c r="Z82">
        <f t="shared" si="78"/>
        <v>-7.1311630570356031E-4</v>
      </c>
      <c r="AA82" s="75">
        <f t="shared" si="68"/>
        <v>-5.2785709137026515E-10</v>
      </c>
      <c r="AB82" s="7">
        <f t="shared" si="79"/>
        <v>36.387899040513098</v>
      </c>
      <c r="AD82" s="7">
        <f t="shared" si="57"/>
        <v>40.971284763952482</v>
      </c>
      <c r="AE82">
        <f t="shared" si="58"/>
        <v>-4.2681934435646829E-2</v>
      </c>
      <c r="AF82">
        <f t="shared" si="80"/>
        <v>-1.0075420511540978E-2</v>
      </c>
      <c r="AG82">
        <f t="shared" si="81"/>
        <v>-5.9571815357430135E-4</v>
      </c>
      <c r="AH82" s="75">
        <f t="shared" si="82"/>
        <v>-6.5292848441100837E-4</v>
      </c>
      <c r="AI82" s="7">
        <f t="shared" si="83"/>
        <v>35.534991188695983</v>
      </c>
      <c r="AJ82" s="7">
        <f t="shared" si="69"/>
        <v>36.006275952648465</v>
      </c>
      <c r="AK82" s="75">
        <f t="shared" si="84"/>
        <v>-6.5292848441100837E-4</v>
      </c>
      <c r="AL82">
        <f t="shared" si="85"/>
        <v>-6.7098225549023713E-3</v>
      </c>
      <c r="AM82">
        <f t="shared" si="86"/>
        <v>-7.7133597771430801E-4</v>
      </c>
      <c r="AN82" s="75">
        <f t="shared" si="70"/>
        <v>-6.7056873387372207E-9</v>
      </c>
      <c r="AO82" s="7">
        <f t="shared" si="87"/>
        <v>35.437131395290358</v>
      </c>
    </row>
    <row r="83" spans="2:41" x14ac:dyDescent="0.25">
      <c r="B83">
        <v>5.6000000000000005</v>
      </c>
      <c r="C83" s="7">
        <f t="shared" si="59"/>
        <v>40.666666666666671</v>
      </c>
      <c r="D83" s="7">
        <f t="shared" si="53"/>
        <v>41.716666666666669</v>
      </c>
      <c r="E83">
        <f t="shared" si="54"/>
        <v>-3.8693951351513212E-2</v>
      </c>
      <c r="F83">
        <f t="shared" si="51"/>
        <v>-1.0511524102111949E-2</v>
      </c>
      <c r="G83">
        <f t="shared" si="52"/>
        <v>-5.7462008434465135E-4</v>
      </c>
      <c r="H83" s="75">
        <f t="shared" si="71"/>
        <v>-3.5540319104310214E-4</v>
      </c>
      <c r="I83" s="7">
        <f t="shared" si="60"/>
        <v>36.514288727871886</v>
      </c>
      <c r="J83" s="7">
        <f t="shared" si="61"/>
        <v>37.564288727871883</v>
      </c>
      <c r="K83" s="75">
        <f t="shared" si="62"/>
        <v>-3.5540319104310214E-4</v>
      </c>
      <c r="L83">
        <f t="shared" si="63"/>
        <v>-7.8617301421703249E-3</v>
      </c>
      <c r="M83">
        <f t="shared" si="64"/>
        <v>-7.0867915725413716E-4</v>
      </c>
      <c r="N83" s="75">
        <f t="shared" si="65"/>
        <v>-5.8508442535298855E-10</v>
      </c>
      <c r="O83" s="7">
        <f t="shared" si="66"/>
        <v>36.468989500283023</v>
      </c>
      <c r="Q83" s="7">
        <f t="shared" si="55"/>
        <v>41.697212115537759</v>
      </c>
      <c r="R83">
        <f t="shared" si="56"/>
        <v>-3.8876525816320617E-2</v>
      </c>
      <c r="S83">
        <f t="shared" si="72"/>
        <v>-1.0500339910558026E-2</v>
      </c>
      <c r="T83">
        <f t="shared" si="73"/>
        <v>-5.7515640718807162E-4</v>
      </c>
      <c r="U83" s="75">
        <f t="shared" si="74"/>
        <v>-3.6358568692995696E-4</v>
      </c>
      <c r="V83" s="7">
        <f t="shared" si="75"/>
        <v>36.485457848745476</v>
      </c>
      <c r="W83" s="7">
        <f t="shared" si="67"/>
        <v>37.516003297616564</v>
      </c>
      <c r="X83" s="75">
        <f t="shared" si="76"/>
        <v>-3.6358568692995696E-4</v>
      </c>
      <c r="Y83">
        <f t="shared" si="77"/>
        <v>-7.8274672223244343E-3</v>
      </c>
      <c r="Z83">
        <f t="shared" si="78"/>
        <v>-7.1050455953176276E-4</v>
      </c>
      <c r="AA83" s="75">
        <f t="shared" si="68"/>
        <v>-6.3730198895939338E-10</v>
      </c>
      <c r="AB83" s="7">
        <f t="shared" si="79"/>
        <v>36.438909531392824</v>
      </c>
      <c r="AD83" s="7">
        <f t="shared" si="57"/>
        <v>41.148267600084182</v>
      </c>
      <c r="AE83">
        <f t="shared" si="58"/>
        <v>-4.4118683987618867E-2</v>
      </c>
      <c r="AF83">
        <f t="shared" si="80"/>
        <v>-1.0180398926743411E-2</v>
      </c>
      <c r="AG83">
        <f t="shared" si="81"/>
        <v>-5.9060468669394303E-4</v>
      </c>
      <c r="AH83" s="75">
        <f t="shared" si="82"/>
        <v>-6.9303566436240693E-4</v>
      </c>
      <c r="AI83" s="7">
        <f t="shared" si="83"/>
        <v>35.583470226003968</v>
      </c>
      <c r="AJ83" s="7">
        <f t="shared" si="69"/>
        <v>36.065071159421478</v>
      </c>
      <c r="AK83" s="75">
        <f t="shared" si="84"/>
        <v>-6.9303566436240693E-4</v>
      </c>
      <c r="AL83">
        <f t="shared" si="85"/>
        <v>-6.7550994798102268E-3</v>
      </c>
      <c r="AM83">
        <f t="shared" si="86"/>
        <v>-7.688230814327945E-4</v>
      </c>
      <c r="AN83" s="75">
        <f t="shared" si="70"/>
        <v>-7.8270339098907016E-9</v>
      </c>
      <c r="AO83" s="7">
        <f t="shared" si="87"/>
        <v>35.480269705731359</v>
      </c>
    </row>
    <row r="84" spans="2:41" x14ac:dyDescent="0.25">
      <c r="B84">
        <v>5.68</v>
      </c>
      <c r="C84" s="7">
        <f t="shared" si="59"/>
        <v>40.833333333333336</v>
      </c>
      <c r="D84" s="7">
        <f t="shared" si="53"/>
        <v>41.898333333333333</v>
      </c>
      <c r="E84">
        <f t="shared" si="54"/>
        <v>-4.0095758108426471E-2</v>
      </c>
      <c r="F84">
        <f t="shared" si="51"/>
        <v>-1.061546079659164E-2</v>
      </c>
      <c r="G84">
        <f t="shared" si="52"/>
        <v>-5.696479054241939E-4</v>
      </c>
      <c r="H84" s="75">
        <f t="shared" si="71"/>
        <v>-3.8089094128213041E-4</v>
      </c>
      <c r="I84" s="7">
        <f t="shared" si="60"/>
        <v>36.568109826128918</v>
      </c>
      <c r="J84" s="7">
        <f t="shared" si="61"/>
        <v>37.633109826128916</v>
      </c>
      <c r="K84" s="75">
        <f t="shared" si="62"/>
        <v>-3.8089094128213041E-4</v>
      </c>
      <c r="L84">
        <f t="shared" si="63"/>
        <v>-7.9104130287318657E-3</v>
      </c>
      <c r="M84">
        <f t="shared" si="64"/>
        <v>-7.0608955025843845E-4</v>
      </c>
      <c r="N84" s="75">
        <f t="shared" si="65"/>
        <v>-7.0339556401677328E-10</v>
      </c>
      <c r="O84" s="7">
        <f t="shared" si="66"/>
        <v>36.519855328743603</v>
      </c>
      <c r="Q84" s="7">
        <f t="shared" si="55"/>
        <v>41.878718469096995</v>
      </c>
      <c r="R84">
        <f t="shared" si="56"/>
        <v>-4.0280137615586131E-2</v>
      </c>
      <c r="S84">
        <f t="shared" si="72"/>
        <v>-1.0604281996866586E-2</v>
      </c>
      <c r="T84">
        <f t="shared" si="73"/>
        <v>-5.701816458744647E-4</v>
      </c>
      <c r="U84" s="75">
        <f t="shared" si="74"/>
        <v>-3.8950175904495232E-4</v>
      </c>
      <c r="V84" s="7">
        <f t="shared" si="75"/>
        <v>36.539090610223653</v>
      </c>
      <c r="W84" s="7">
        <f t="shared" si="67"/>
        <v>37.584475745987312</v>
      </c>
      <c r="X84" s="75">
        <f t="shared" si="76"/>
        <v>-3.8950175904495232E-4</v>
      </c>
      <c r="Y84">
        <f t="shared" si="77"/>
        <v>-7.8760285771885298E-3</v>
      </c>
      <c r="Z84">
        <f t="shared" si="78"/>
        <v>-7.0791808360774538E-4</v>
      </c>
      <c r="AA84" s="75">
        <f t="shared" si="68"/>
        <v>-7.6523476444378957E-10</v>
      </c>
      <c r="AB84" s="7">
        <f t="shared" si="79"/>
        <v>36.489526124195052</v>
      </c>
      <c r="AD84" s="7">
        <f t="shared" si="57"/>
        <v>41.325250436215867</v>
      </c>
      <c r="AE84">
        <f t="shared" si="58"/>
        <v>-4.5573933176592085E-2</v>
      </c>
      <c r="AF84">
        <f t="shared" si="80"/>
        <v>-1.0284478163963412E-2</v>
      </c>
      <c r="AG84">
        <f t="shared" si="81"/>
        <v>-5.8555677706237917E-4</v>
      </c>
      <c r="AH84" s="75">
        <f t="shared" si="82"/>
        <v>-7.3452783545979727E-4</v>
      </c>
      <c r="AI84" s="7">
        <f t="shared" si="83"/>
        <v>35.631762100184979</v>
      </c>
      <c r="AJ84" s="7">
        <f t="shared" si="69"/>
        <v>36.12367920306751</v>
      </c>
      <c r="AK84" s="75">
        <f t="shared" si="84"/>
        <v>-7.3452783545979727E-4</v>
      </c>
      <c r="AL84">
        <f t="shared" si="85"/>
        <v>-6.8000855912191925E-3</v>
      </c>
      <c r="AM84">
        <f t="shared" si="86"/>
        <v>-7.6633038605657133E-4</v>
      </c>
      <c r="AN84" s="75">
        <f t="shared" si="70"/>
        <v>-9.0984839662411332E-9</v>
      </c>
      <c r="AO84" s="7">
        <f t="shared" si="87"/>
        <v>35.523079088527972</v>
      </c>
    </row>
    <row r="85" spans="2:41" x14ac:dyDescent="0.25">
      <c r="B85">
        <v>5.76</v>
      </c>
      <c r="C85" s="7">
        <f t="shared" si="59"/>
        <v>41</v>
      </c>
      <c r="D85" s="7">
        <f t="shared" si="53"/>
        <v>42.08</v>
      </c>
      <c r="E85">
        <f t="shared" si="54"/>
        <v>-4.151636500529543E-2</v>
      </c>
      <c r="F85">
        <f t="shared" si="51"/>
        <v>-1.0718500065556573E-2</v>
      </c>
      <c r="G85">
        <f t="shared" si="52"/>
        <v>-5.647399846752158E-4</v>
      </c>
      <c r="H85" s="75">
        <f t="shared" si="71"/>
        <v>-4.0744997752151235E-4</v>
      </c>
      <c r="I85" s="7">
        <f t="shared" si="60"/>
        <v>36.621645328915797</v>
      </c>
      <c r="J85" s="7">
        <f t="shared" si="61"/>
        <v>37.701645328915795</v>
      </c>
      <c r="K85" s="75">
        <f t="shared" si="62"/>
        <v>-4.0744997752151235E-4</v>
      </c>
      <c r="L85">
        <f t="shared" si="63"/>
        <v>-7.9587172618623726E-3</v>
      </c>
      <c r="M85">
        <f t="shared" si="64"/>
        <v>-7.0352477000478028E-4</v>
      </c>
      <c r="N85" s="75">
        <f t="shared" si="65"/>
        <v>-8.4118823018286548E-10</v>
      </c>
      <c r="O85" s="7">
        <f t="shared" si="66"/>
        <v>36.570333525811279</v>
      </c>
      <c r="Q85" s="7">
        <f t="shared" si="55"/>
        <v>42.060224822656231</v>
      </c>
      <c r="R85">
        <f t="shared" si="56"/>
        <v>-4.1702533972661326E-2</v>
      </c>
      <c r="S85">
        <f t="shared" si="72"/>
        <v>-1.0707326981500263E-2</v>
      </c>
      <c r="T85">
        <f t="shared" si="73"/>
        <v>-5.65271149629768E-4</v>
      </c>
      <c r="U85" s="75">
        <f t="shared" si="74"/>
        <v>-4.1649915722530295E-4</v>
      </c>
      <c r="V85" s="7">
        <f t="shared" si="75"/>
        <v>36.592440983018356</v>
      </c>
      <c r="W85" s="7">
        <f t="shared" si="67"/>
        <v>37.652665805674587</v>
      </c>
      <c r="X85" s="75">
        <f t="shared" si="76"/>
        <v>-4.1649915722530295E-4</v>
      </c>
      <c r="Y85">
        <f t="shared" si="77"/>
        <v>-7.9242141298161498E-3</v>
      </c>
      <c r="Z85">
        <f t="shared" si="78"/>
        <v>-7.0535628547370736E-4</v>
      </c>
      <c r="AA85" s="75">
        <f t="shared" si="68"/>
        <v>-9.1407059699122328E-10</v>
      </c>
      <c r="AB85" s="7">
        <f t="shared" si="79"/>
        <v>36.539757140894437</v>
      </c>
      <c r="AD85" s="7">
        <f t="shared" si="57"/>
        <v>41.502233272347553</v>
      </c>
      <c r="AE85">
        <f t="shared" si="58"/>
        <v>-4.7047523884362397E-2</v>
      </c>
      <c r="AF85">
        <f t="shared" si="80"/>
        <v>-1.0387669726611076E-2</v>
      </c>
      <c r="AG85">
        <f t="shared" si="81"/>
        <v>-5.8057330881354887E-4</v>
      </c>
      <c r="AH85" s="75">
        <f t="shared" si="82"/>
        <v>-7.7741074626835882E-4</v>
      </c>
      <c r="AI85" s="7">
        <f t="shared" si="83"/>
        <v>35.679872592317722</v>
      </c>
      <c r="AJ85" s="7">
        <f t="shared" si="69"/>
        <v>36.182105864665274</v>
      </c>
      <c r="AK85" s="75">
        <f t="shared" si="84"/>
        <v>-7.7741074626835882E-4</v>
      </c>
      <c r="AL85">
        <f t="shared" si="85"/>
        <v>-6.8447874163496611E-3</v>
      </c>
      <c r="AM85">
        <f t="shared" si="86"/>
        <v>-7.6385745229192662E-4</v>
      </c>
      <c r="AN85" s="75">
        <f t="shared" si="70"/>
        <v>-1.0535033068137523E-8</v>
      </c>
      <c r="AO85" s="7">
        <f t="shared" si="87"/>
        <v>35.565566488174404</v>
      </c>
    </row>
    <row r="86" spans="2:41" x14ac:dyDescent="0.25">
      <c r="B86">
        <v>5.84</v>
      </c>
      <c r="C86" s="7">
        <f t="shared" si="59"/>
        <v>41.166666666666664</v>
      </c>
      <c r="D86" s="7">
        <f t="shared" si="53"/>
        <v>42.261666666666663</v>
      </c>
      <c r="E86">
        <f t="shared" si="54"/>
        <v>-4.2955610064070671E-2</v>
      </c>
      <c r="F86">
        <f t="shared" si="51"/>
        <v>-1.0820653482069155E-2</v>
      </c>
      <c r="G86">
        <f t="shared" si="52"/>
        <v>-5.5989521959113068E-4</v>
      </c>
      <c r="H86" s="75">
        <f t="shared" si="71"/>
        <v>-4.3509065032187877E-4</v>
      </c>
      <c r="I86" s="7">
        <f t="shared" si="60"/>
        <v>36.674903202694907</v>
      </c>
      <c r="J86" s="7">
        <f t="shared" si="61"/>
        <v>37.769903202694906</v>
      </c>
      <c r="K86" s="75">
        <f t="shared" si="62"/>
        <v>-4.3509065032187877E-4</v>
      </c>
      <c r="L86">
        <f t="shared" si="63"/>
        <v>-8.0066515829398353E-3</v>
      </c>
      <c r="M86">
        <f t="shared" si="64"/>
        <v>-7.0098424387438551E-4</v>
      </c>
      <c r="N86" s="75">
        <f t="shared" si="65"/>
        <v>-1.0009397755084137E-9</v>
      </c>
      <c r="O86" s="7">
        <f t="shared" si="66"/>
        <v>36.620432168364353</v>
      </c>
      <c r="Q86" s="7">
        <f t="shared" si="55"/>
        <v>42.241731176215474</v>
      </c>
      <c r="R86">
        <f t="shared" si="56"/>
        <v>-4.3143553110399191E-2</v>
      </c>
      <c r="S86">
        <f t="shared" si="72"/>
        <v>-1.0809486428591204E-2</v>
      </c>
      <c r="T86">
        <f t="shared" si="73"/>
        <v>-5.6042381628118186E-4</v>
      </c>
      <c r="U86" s="75">
        <f t="shared" si="74"/>
        <v>-4.4458810315517461E-4</v>
      </c>
      <c r="V86" s="7">
        <f t="shared" si="75"/>
        <v>36.64551686418082</v>
      </c>
      <c r="W86" s="7">
        <f t="shared" si="67"/>
        <v>37.72058137372963</v>
      </c>
      <c r="X86" s="75">
        <f t="shared" si="76"/>
        <v>-4.4458810315517461E-4</v>
      </c>
      <c r="Y86">
        <f t="shared" si="77"/>
        <v>-7.9720325506920549E-3</v>
      </c>
      <c r="Z86">
        <f t="shared" si="78"/>
        <v>-7.028185967584504E-4</v>
      </c>
      <c r="AA86" s="75">
        <f t="shared" si="68"/>
        <v>-1.0864451560621546E-9</v>
      </c>
      <c r="AB86" s="7">
        <f t="shared" si="79"/>
        <v>36.589610615287789</v>
      </c>
      <c r="AD86" s="7">
        <f t="shared" si="57"/>
        <v>41.679216108479238</v>
      </c>
      <c r="AE86">
        <f t="shared" si="58"/>
        <v>-4.8539300011280373E-2</v>
      </c>
      <c r="AF86">
        <f t="shared" si="80"/>
        <v>-1.0489984922708334E-2</v>
      </c>
      <c r="AG86">
        <f t="shared" si="81"/>
        <v>-5.7565318972254418E-4</v>
      </c>
      <c r="AH86" s="75">
        <f t="shared" si="82"/>
        <v>-8.2168944802218924E-4</v>
      </c>
      <c r="AI86" s="7">
        <f t="shared" si="83"/>
        <v>35.727807191801915</v>
      </c>
      <c r="AJ86" s="7">
        <f t="shared" si="69"/>
        <v>36.240356633614489</v>
      </c>
      <c r="AK86" s="75">
        <f t="shared" si="84"/>
        <v>-8.2168944802218924E-4</v>
      </c>
      <c r="AL86">
        <f t="shared" si="85"/>
        <v>-6.8892111810251941E-3</v>
      </c>
      <c r="AM86">
        <f t="shared" si="86"/>
        <v>-7.6140386030501301E-4</v>
      </c>
      <c r="AN86" s="75">
        <f t="shared" si="70"/>
        <v>-1.2152627570927166E-8</v>
      </c>
      <c r="AO86" s="7">
        <f t="shared" si="87"/>
        <v>35.607738608884745</v>
      </c>
    </row>
    <row r="87" spans="2:41" x14ac:dyDescent="0.25">
      <c r="B87">
        <v>5.92</v>
      </c>
      <c r="C87" s="7">
        <f t="shared" si="59"/>
        <v>41.333333333333336</v>
      </c>
      <c r="D87" s="7">
        <f t="shared" si="53"/>
        <v>42.443333333333335</v>
      </c>
      <c r="E87">
        <f t="shared" si="54"/>
        <v>-4.4413333391078558E-2</v>
      </c>
      <c r="F87">
        <f t="shared" si="51"/>
        <v>-1.0921932421050922E-2</v>
      </c>
      <c r="G87">
        <f t="shared" si="52"/>
        <v>-5.5511253120958302E-4</v>
      </c>
      <c r="H87" s="75">
        <f t="shared" si="71"/>
        <v>-4.6382265156941216E-4</v>
      </c>
      <c r="I87" s="7">
        <f t="shared" si="60"/>
        <v>36.727891077379759</v>
      </c>
      <c r="J87" s="7">
        <f t="shared" si="61"/>
        <v>37.837891077379759</v>
      </c>
      <c r="K87" s="75">
        <f t="shared" si="62"/>
        <v>-4.6382265156941216E-4</v>
      </c>
      <c r="L87">
        <f t="shared" si="63"/>
        <v>-8.0542243782561543E-3</v>
      </c>
      <c r="M87">
        <f t="shared" si="64"/>
        <v>-6.9846742220348011E-4</v>
      </c>
      <c r="N87" s="75">
        <f t="shared" si="65"/>
        <v>-1.1853469317202325E-9</v>
      </c>
      <c r="O87" s="7">
        <f t="shared" si="66"/>
        <v>36.670159057405236</v>
      </c>
      <c r="Q87" s="7">
        <f t="shared" si="55"/>
        <v>42.423237529774717</v>
      </c>
      <c r="R87">
        <f t="shared" si="56"/>
        <v>-4.4603035332592578E-2</v>
      </c>
      <c r="S87">
        <f t="shared" si="72"/>
        <v>-1.0910771704364591E-2</v>
      </c>
      <c r="T87">
        <f t="shared" si="73"/>
        <v>-5.5563856718339986E-4</v>
      </c>
      <c r="U87" s="75">
        <f t="shared" si="74"/>
        <v>-4.7377815786209254E-4</v>
      </c>
      <c r="V87" s="7">
        <f t="shared" si="75"/>
        <v>36.698325815791783</v>
      </c>
      <c r="W87" s="7">
        <f t="shared" si="67"/>
        <v>37.788230012233164</v>
      </c>
      <c r="X87" s="75">
        <f t="shared" si="76"/>
        <v>-4.7377815786209254E-4</v>
      </c>
      <c r="Y87">
        <f t="shared" si="77"/>
        <v>-8.0194921571302216E-3</v>
      </c>
      <c r="Z87">
        <f t="shared" si="78"/>
        <v>-7.0030447192134945E-4</v>
      </c>
      <c r="AA87" s="75">
        <f t="shared" si="68"/>
        <v>-1.2852223729709067E-9</v>
      </c>
      <c r="AB87" s="7">
        <f t="shared" si="79"/>
        <v>36.639094306771426</v>
      </c>
      <c r="AD87" s="7">
        <f t="shared" si="57"/>
        <v>41.856198944610931</v>
      </c>
      <c r="AE87">
        <f t="shared" si="58"/>
        <v>-5.0049107442037721E-2</v>
      </c>
      <c r="AF87">
        <f t="shared" si="80"/>
        <v>-1.0591434869019842E-2</v>
      </c>
      <c r="AG87">
        <f t="shared" si="81"/>
        <v>-5.7079535060710208E-4</v>
      </c>
      <c r="AH87" s="75">
        <f t="shared" si="82"/>
        <v>-8.6736832180922541E-4</v>
      </c>
      <c r="AI87" s="7">
        <f t="shared" si="83"/>
        <v>35.775571112299062</v>
      </c>
      <c r="AJ87" s="7">
        <f t="shared" si="69"/>
        <v>36.298436723576657</v>
      </c>
      <c r="AK87" s="75">
        <f t="shared" si="84"/>
        <v>-8.6736832180922541E-4</v>
      </c>
      <c r="AL87">
        <f t="shared" si="85"/>
        <v>-6.9333628267248607E-3</v>
      </c>
      <c r="AM87">
        <f t="shared" si="86"/>
        <v>-7.5896920861252511E-4</v>
      </c>
      <c r="AN87" s="75">
        <f t="shared" si="70"/>
        <v>-1.3968185275103906E-8</v>
      </c>
      <c r="AO87" s="7">
        <f t="shared" si="87"/>
        <v>35.649601926083228</v>
      </c>
    </row>
    <row r="88" spans="2:41" x14ac:dyDescent="0.25">
      <c r="B88">
        <v>6</v>
      </c>
      <c r="C88" s="7">
        <f t="shared" si="59"/>
        <v>41.5</v>
      </c>
      <c r="D88" s="7">
        <f t="shared" si="53"/>
        <v>42.625</v>
      </c>
      <c r="E88">
        <f t="shared" si="54"/>
        <v>-4.5889377141413945E-2</v>
      </c>
      <c r="F88">
        <f t="shared" si="51"/>
        <v>-1.1022348063504904E-2</v>
      </c>
      <c r="G88">
        <f t="shared" si="52"/>
        <v>-5.503908635116657E-4</v>
      </c>
      <c r="H88" s="75">
        <f t="shared" si="71"/>
        <v>-4.9365503248854914E-4</v>
      </c>
      <c r="I88" s="7">
        <f t="shared" si="60"/>
        <v>36.780616262688817</v>
      </c>
      <c r="J88" s="7">
        <f t="shared" si="61"/>
        <v>37.905616262688817</v>
      </c>
      <c r="K88" s="75">
        <f t="shared" si="62"/>
        <v>-4.9365503248854914E-4</v>
      </c>
      <c r="L88">
        <f t="shared" si="63"/>
        <v>-8.1014436970666334E-3</v>
      </c>
      <c r="M88">
        <f t="shared" si="64"/>
        <v>-6.9597377709937477E-4</v>
      </c>
      <c r="N88" s="75">
        <f t="shared" si="65"/>
        <v>-1.3973346923989993E-9</v>
      </c>
      <c r="O88" s="7">
        <f t="shared" si="66"/>
        <v>36.719521731071836</v>
      </c>
      <c r="Q88" s="7">
        <f t="shared" si="55"/>
        <v>42.604743883333953</v>
      </c>
      <c r="R88">
        <f t="shared" si="56"/>
        <v>-4.6080822988434189E-2</v>
      </c>
      <c r="S88">
        <f t="shared" si="72"/>
        <v>-1.1011193981354309E-2</v>
      </c>
      <c r="T88">
        <f t="shared" si="73"/>
        <v>-5.5091434661849726E-4</v>
      </c>
      <c r="U88" s="75">
        <f t="shared" si="74"/>
        <v>-5.0407824002518531E-4</v>
      </c>
      <c r="V88" s="7">
        <f t="shared" si="75"/>
        <v>36.750875081279929</v>
      </c>
      <c r="W88" s="7">
        <f t="shared" si="67"/>
        <v>37.855618964613882</v>
      </c>
      <c r="X88" s="75">
        <f t="shared" si="76"/>
        <v>-5.0407824002518531E-4</v>
      </c>
      <c r="Y88">
        <f t="shared" si="77"/>
        <v>-8.0666009312653913E-3</v>
      </c>
      <c r="Z88">
        <f t="shared" si="78"/>
        <v>-6.9781338707252869E-4</v>
      </c>
      <c r="AA88" s="75">
        <f t="shared" si="68"/>
        <v>-1.5135097619634053E-9</v>
      </c>
      <c r="AB88" s="7">
        <f t="shared" si="79"/>
        <v>36.688215713284002</v>
      </c>
      <c r="AD88" s="7">
        <f t="shared" si="57"/>
        <v>42.033181780742616</v>
      </c>
      <c r="AE88">
        <f t="shared" si="58"/>
        <v>-5.1576794012175187E-2</v>
      </c>
      <c r="AF88">
        <f t="shared" si="80"/>
        <v>-1.0692030495079444E-2</v>
      </c>
      <c r="AG88">
        <f t="shared" si="81"/>
        <v>-5.6599874474670068E-4</v>
      </c>
      <c r="AH88" s="75">
        <f t="shared" si="82"/>
        <v>-9.1445110510046668E-4</v>
      </c>
      <c r="AI88" s="7">
        <f t="shared" si="83"/>
        <v>35.823169306736354</v>
      </c>
      <c r="AJ88" s="7">
        <f t="shared" si="69"/>
        <v>36.35635108747897</v>
      </c>
      <c r="AK88" s="75">
        <f t="shared" si="84"/>
        <v>-9.1445110510046668E-4</v>
      </c>
      <c r="AL88">
        <f t="shared" si="85"/>
        <v>-6.9772480265751294E-3</v>
      </c>
      <c r="AM88">
        <f t="shared" si="86"/>
        <v>-7.5655311304294651E-4</v>
      </c>
      <c r="AN88" s="75">
        <f t="shared" si="70"/>
        <v>-1.5999610303296663E-8</v>
      </c>
      <c r="AO88" s="7">
        <f t="shared" si="87"/>
        <v>35.691162697197548</v>
      </c>
    </row>
    <row r="89" spans="2:41" x14ac:dyDescent="0.25">
      <c r="B89">
        <v>6.08</v>
      </c>
      <c r="C89" s="7">
        <f t="shared" si="59"/>
        <v>41.666666666666664</v>
      </c>
      <c r="D89" s="7">
        <f t="shared" si="53"/>
        <v>42.806666666666665</v>
      </c>
      <c r="E89">
        <f t="shared" si="54"/>
        <v>-4.7383585484083612E-2</v>
      </c>
      <c r="F89">
        <f t="shared" si="51"/>
        <v>-1.1121911400630471E-2</v>
      </c>
      <c r="G89">
        <f t="shared" si="52"/>
        <v>-5.4572918283894679E-4</v>
      </c>
      <c r="H89" s="75">
        <f t="shared" si="71"/>
        <v>-5.2459622164002795E-4</v>
      </c>
      <c r="I89" s="7">
        <f t="shared" si="60"/>
        <v>36.833085763596578</v>
      </c>
      <c r="J89" s="7">
        <f t="shared" si="61"/>
        <v>37.973085763596579</v>
      </c>
      <c r="K89" s="75">
        <f t="shared" si="62"/>
        <v>-5.2459622164002795E-4</v>
      </c>
      <c r="L89">
        <f t="shared" si="63"/>
        <v>-8.1483172685816903E-3</v>
      </c>
      <c r="M89">
        <f t="shared" si="64"/>
        <v>-6.9350280132761399E-4</v>
      </c>
      <c r="N89" s="75">
        <f t="shared" si="65"/>
        <v>-1.6400656388526613E-9</v>
      </c>
      <c r="O89" s="7">
        <f t="shared" si="66"/>
        <v>36.768527476871483</v>
      </c>
      <c r="Q89" s="7">
        <f t="shared" si="55"/>
        <v>42.786250236893196</v>
      </c>
      <c r="R89">
        <f t="shared" si="56"/>
        <v>-4.7576760437736176E-2</v>
      </c>
      <c r="S89">
        <f t="shared" si="72"/>
        <v>-1.1110764242511301E-2</v>
      </c>
      <c r="T89">
        <f t="shared" si="73"/>
        <v>-5.4625012121360054E-4</v>
      </c>
      <c r="U89" s="75">
        <f t="shared" si="74"/>
        <v>-5.3549664425478483E-4</v>
      </c>
      <c r="V89" s="7">
        <f t="shared" si="75"/>
        <v>36.803171600837452</v>
      </c>
      <c r="W89" s="7">
        <f t="shared" si="67"/>
        <v>37.922755171063983</v>
      </c>
      <c r="X89" s="75">
        <f t="shared" si="76"/>
        <v>-5.3549664425478483E-4</v>
      </c>
      <c r="Y89">
        <f t="shared" si="77"/>
        <v>-8.1133665369882806E-3</v>
      </c>
      <c r="Z89">
        <f t="shared" si="78"/>
        <v>-6.9534483886397283E-4</v>
      </c>
      <c r="AA89" s="75">
        <f t="shared" si="68"/>
        <v>-1.7746619729308577E-9</v>
      </c>
      <c r="AB89" s="7">
        <f t="shared" si="79"/>
        <v>36.736982083474018</v>
      </c>
      <c r="AD89" s="7">
        <f t="shared" si="57"/>
        <v>42.210164616874302</v>
      </c>
      <c r="AE89">
        <f t="shared" si="58"/>
        <v>-5.312220947529589E-2</v>
      </c>
      <c r="AF89">
        <f t="shared" si="80"/>
        <v>-1.0791782547115391E-2</v>
      </c>
      <c r="AG89">
        <f t="shared" si="81"/>
        <v>-5.6126234731866816E-4</v>
      </c>
      <c r="AH89" s="75">
        <f t="shared" si="82"/>
        <v>-9.6294091760462663E-4</v>
      </c>
      <c r="AI89" s="7">
        <f t="shared" si="83"/>
        <v>35.870606481434123</v>
      </c>
      <c r="AJ89" s="7">
        <f t="shared" si="69"/>
        <v>36.414104431641761</v>
      </c>
      <c r="AK89" s="75">
        <f t="shared" si="84"/>
        <v>-9.6294091760462663E-4</v>
      </c>
      <c r="AL89">
        <f t="shared" si="85"/>
        <v>-7.0208722003536513E-3</v>
      </c>
      <c r="AM89">
        <f t="shared" si="86"/>
        <v>-7.541552057634351E-4</v>
      </c>
      <c r="AN89" s="75">
        <f t="shared" si="70"/>
        <v>-1.826580375841047E-8</v>
      </c>
      <c r="AO89" s="7">
        <f t="shared" si="87"/>
        <v>35.732426971806177</v>
      </c>
    </row>
    <row r="90" spans="2:41" x14ac:dyDescent="0.25">
      <c r="B90">
        <v>6.16</v>
      </c>
      <c r="C90" s="7">
        <f t="shared" si="59"/>
        <v>41.833333333333336</v>
      </c>
      <c r="D90" s="7">
        <f t="shared" si="53"/>
        <v>42.988333333333337</v>
      </c>
      <c r="E90">
        <f t="shared" si="54"/>
        <v>-4.8895804567894219E-2</v>
      </c>
      <c r="F90">
        <f t="shared" si="51"/>
        <v>-1.1220633237833844E-2</v>
      </c>
      <c r="G90">
        <f t="shared" si="52"/>
        <v>-5.4112647732770466E-4</v>
      </c>
      <c r="H90" s="75">
        <f t="shared" si="71"/>
        <v>-5.5665404285254461E-4</v>
      </c>
      <c r="I90" s="7">
        <f t="shared" si="60"/>
        <v>36.88530629493831</v>
      </c>
      <c r="J90" s="7">
        <f t="shared" si="61"/>
        <v>38.040306294938311</v>
      </c>
      <c r="K90" s="75">
        <f t="shared" si="62"/>
        <v>-5.5665404285254461E-4</v>
      </c>
      <c r="L90">
        <f t="shared" si="63"/>
        <v>-8.1948525179708874E-3</v>
      </c>
      <c r="M90">
        <f t="shared" si="64"/>
        <v>-6.9105400726535864E-4</v>
      </c>
      <c r="N90" s="75">
        <f t="shared" si="65"/>
        <v>-1.9169501541682621E-9</v>
      </c>
      <c r="O90" s="7">
        <f t="shared" si="66"/>
        <v>36.817183343192113</v>
      </c>
      <c r="Q90" s="7">
        <f t="shared" si="55"/>
        <v>42.967756590452439</v>
      </c>
      <c r="R90">
        <f t="shared" si="56"/>
        <v>-4.9090694016884928E-2</v>
      </c>
      <c r="S90">
        <f t="shared" si="72"/>
        <v>-1.1209493285207772E-2</v>
      </c>
      <c r="T90">
        <f t="shared" si="73"/>
        <v>-5.4164487937574267E-4</v>
      </c>
      <c r="U90" s="75">
        <f t="shared" si="74"/>
        <v>-5.6804105928387472E-4</v>
      </c>
      <c r="V90" s="7">
        <f t="shared" si="75"/>
        <v>36.855222025991395</v>
      </c>
      <c r="W90" s="7">
        <f t="shared" si="67"/>
        <v>37.989645283110498</v>
      </c>
      <c r="X90" s="75">
        <f t="shared" si="76"/>
        <v>-5.6804105928387472E-4</v>
      </c>
      <c r="Y90">
        <f t="shared" si="77"/>
        <v>-8.1597963358961793E-3</v>
      </c>
      <c r="Z90">
        <f t="shared" si="78"/>
        <v>-6.9289834344665974E-4</v>
      </c>
      <c r="AA90" s="75">
        <f t="shared" si="68"/>
        <v>-2.0722945581752583E-9</v>
      </c>
      <c r="AB90" s="7">
        <f t="shared" si="79"/>
        <v>36.785400428149998</v>
      </c>
      <c r="AD90" s="7">
        <f t="shared" si="57"/>
        <v>42.387147453005994</v>
      </c>
      <c r="AE90">
        <f t="shared" si="58"/>
        <v>-5.4685205470962561E-2</v>
      </c>
      <c r="AF90">
        <f t="shared" si="80"/>
        <v>-1.0890701591877199E-2</v>
      </c>
      <c r="AG90">
        <f t="shared" si="81"/>
        <v>-5.5658515485073918E-4</v>
      </c>
      <c r="AH90" s="75">
        <f t="shared" si="82"/>
        <v>-1.012840286436667E-3</v>
      </c>
      <c r="AI90" s="7">
        <f t="shared" si="83"/>
        <v>35.917887109413641</v>
      </c>
      <c r="AJ90" s="7">
        <f t="shared" si="69"/>
        <v>36.4717012290863</v>
      </c>
      <c r="AK90" s="75">
        <f t="shared" si="84"/>
        <v>-1.012840286436667E-3</v>
      </c>
      <c r="AL90">
        <f t="shared" si="85"/>
        <v>-7.0642405285723416E-3</v>
      </c>
      <c r="AM90">
        <f t="shared" si="86"/>
        <v>-7.5177513436776452E-4</v>
      </c>
      <c r="AN90" s="75">
        <f t="shared" si="70"/>
        <v>-2.078667971083803E-8</v>
      </c>
      <c r="AO90" s="7">
        <f t="shared" si="87"/>
        <v>35.773400601186772</v>
      </c>
    </row>
    <row r="91" spans="2:41" x14ac:dyDescent="0.25">
      <c r="B91">
        <v>6.24</v>
      </c>
      <c r="C91" s="7">
        <f t="shared" si="59"/>
        <v>42</v>
      </c>
      <c r="D91" s="7">
        <f t="shared" si="53"/>
        <v>43.17</v>
      </c>
      <c r="E91">
        <f t="shared" si="54"/>
        <v>-5.0425882488053242E-2</v>
      </c>
      <c r="F91">
        <f t="shared" si="51"/>
        <v>-1.1318524198637304E-2</v>
      </c>
      <c r="G91">
        <f t="shared" si="52"/>
        <v>-5.3658175635979495E-4</v>
      </c>
      <c r="H91" s="75">
        <f t="shared" si="71"/>
        <v>-5.8983573305271264E-4</v>
      </c>
      <c r="I91" s="7">
        <f t="shared" si="60"/>
        <v>36.937284295223805</v>
      </c>
      <c r="J91" s="7">
        <f t="shared" si="61"/>
        <v>38.107284295223806</v>
      </c>
      <c r="K91" s="75">
        <f t="shared" si="62"/>
        <v>-5.8983573305271264E-4</v>
      </c>
      <c r="L91">
        <f t="shared" si="63"/>
        <v>-8.2410565814463217E-3</v>
      </c>
      <c r="M91">
        <f t="shared" si="64"/>
        <v>-6.8862692591642775E-4</v>
      </c>
      <c r="N91" s="75">
        <f t="shared" si="65"/>
        <v>-2.2316546388623237E-9</v>
      </c>
      <c r="O91" s="7">
        <f t="shared" si="66"/>
        <v>36.865496150142725</v>
      </c>
      <c r="Q91" s="7">
        <f t="shared" si="55"/>
        <v>43.149262944011674</v>
      </c>
      <c r="R91">
        <f t="shared" si="56"/>
        <v>-5.0622472005511954E-2</v>
      </c>
      <c r="S91">
        <f t="shared" si="72"/>
        <v>-1.1307391725140361E-2</v>
      </c>
      <c r="T91">
        <f t="shared" si="73"/>
        <v>-5.370976307433221E-4</v>
      </c>
      <c r="U91" s="75">
        <f t="shared" si="74"/>
        <v>-6.0171858604052275E-4</v>
      </c>
      <c r="V91" s="7">
        <f t="shared" si="75"/>
        <v>36.907032733384412</v>
      </c>
      <c r="W91" s="7">
        <f t="shared" si="67"/>
        <v>38.056295677396086</v>
      </c>
      <c r="X91" s="75">
        <f t="shared" si="76"/>
        <v>-6.0171858604052275E-4</v>
      </c>
      <c r="Y91">
        <f t="shared" si="77"/>
        <v>-8.2058974023246772E-3</v>
      </c>
      <c r="Z91">
        <f t="shared" si="78"/>
        <v>-6.9047343548921342E-4</v>
      </c>
      <c r="AA91" s="75">
        <f t="shared" si="68"/>
        <v>-2.410290855792141E-9</v>
      </c>
      <c r="AB91" s="7">
        <f t="shared" si="79"/>
        <v>36.83347753106289</v>
      </c>
      <c r="AD91" s="7">
        <f t="shared" si="57"/>
        <v>42.56413028913768</v>
      </c>
      <c r="AE91">
        <f t="shared" si="58"/>
        <v>-5.6265635493264465E-2</v>
      </c>
      <c r="AF91">
        <f t="shared" si="80"/>
        <v>-1.0988798020367018E-2</v>
      </c>
      <c r="AG91">
        <f t="shared" si="81"/>
        <v>-5.5196618468951236E-4</v>
      </c>
      <c r="AH91" s="75">
        <f t="shared" si="82"/>
        <v>-1.0641511705915541E-3</v>
      </c>
      <c r="AI91" s="7">
        <f t="shared" si="83"/>
        <v>35.965015442936782</v>
      </c>
      <c r="AJ91" s="7">
        <f t="shared" si="69"/>
        <v>36.529145732074461</v>
      </c>
      <c r="AK91" s="75">
        <f t="shared" si="84"/>
        <v>-1.0641511705915541E-3</v>
      </c>
      <c r="AL91">
        <f t="shared" si="85"/>
        <v>-7.1073579657011977E-3</v>
      </c>
      <c r="AM91">
        <f t="shared" si="86"/>
        <v>-7.4941256102114249E-4</v>
      </c>
      <c r="AN91" s="75">
        <f t="shared" si="70"/>
        <v>-2.3583171637753253E-8</v>
      </c>
      <c r="AO91" s="7">
        <f t="shared" si="87"/>
        <v>35.814089247307862</v>
      </c>
    </row>
    <row r="92" spans="2:41" x14ac:dyDescent="0.25">
      <c r="B92">
        <v>6.32</v>
      </c>
      <c r="C92" s="7">
        <f t="shared" si="59"/>
        <v>42.166666666666671</v>
      </c>
      <c r="D92" s="7">
        <f t="shared" si="53"/>
        <v>43.351666666666674</v>
      </c>
      <c r="E92">
        <f t="shared" si="54"/>
        <v>-5.1973669253478016E-2</v>
      </c>
      <c r="F92">
        <f t="shared" si="51"/>
        <v>-1.1415594728490203E-2</v>
      </c>
      <c r="G92">
        <f t="shared" si="52"/>
        <v>-5.3209405002959005E-4</v>
      </c>
      <c r="H92" s="75">
        <f t="shared" si="71"/>
        <v>-6.2414795994336636E-4</v>
      </c>
      <c r="I92" s="7">
        <f t="shared" si="60"/>
        <v>36.989025939708327</v>
      </c>
      <c r="J92" s="7">
        <f t="shared" si="61"/>
        <v>38.174025939708329</v>
      </c>
      <c r="K92" s="75">
        <f t="shared" si="62"/>
        <v>-6.2414795994336636E-4</v>
      </c>
      <c r="L92">
        <f t="shared" si="63"/>
        <v>-8.2869363204850638E-3</v>
      </c>
      <c r="M92">
        <f t="shared" si="64"/>
        <v>-6.8622110598389623E-4</v>
      </c>
      <c r="N92" s="75">
        <f t="shared" si="65"/>
        <v>-2.588110170620439E-9</v>
      </c>
      <c r="O92" s="7">
        <f t="shared" si="66"/>
        <v>36.913472499770336</v>
      </c>
      <c r="Q92" s="7">
        <f t="shared" si="55"/>
        <v>43.330769297570924</v>
      </c>
      <c r="R92">
        <f t="shared" si="56"/>
        <v>-5.2171944593866204E-2</v>
      </c>
      <c r="S92">
        <f t="shared" si="72"/>
        <v>-1.1404470000135232E-2</v>
      </c>
      <c r="T92">
        <f t="shared" si="73"/>
        <v>-5.3260740565361177E-4</v>
      </c>
      <c r="U92" s="75">
        <f t="shared" si="74"/>
        <v>-6.3653575555799868E-4</v>
      </c>
      <c r="V92" s="7">
        <f t="shared" si="75"/>
        <v>36.958609837814258</v>
      </c>
      <c r="W92" s="7">
        <f t="shared" si="67"/>
        <v>38.122712468718511</v>
      </c>
      <c r="X92" s="75">
        <f t="shared" si="76"/>
        <v>-6.3653575555799868E-4</v>
      </c>
      <c r="Y92">
        <f t="shared" si="77"/>
        <v>-8.2516765375208016E-3</v>
      </c>
      <c r="Z92">
        <f t="shared" si="78"/>
        <v>-6.8806966725394202E-4</v>
      </c>
      <c r="AA92" s="75">
        <f t="shared" si="68"/>
        <v>-2.7928115375885909E-9</v>
      </c>
      <c r="AB92" s="7">
        <f t="shared" si="79"/>
        <v>36.881219959068297</v>
      </c>
      <c r="AD92" s="7">
        <f t="shared" si="57"/>
        <v>42.741113125269372</v>
      </c>
      <c r="AE92">
        <f t="shared" si="58"/>
        <v>-5.7863354860037131E-2</v>
      </c>
      <c r="AF92">
        <f t="shared" si="80"/>
        <v>-1.1086082051478343E-2</v>
      </c>
      <c r="AG92">
        <f t="shared" si="81"/>
        <v>-5.4740447448428165E-4</v>
      </c>
      <c r="AH92" s="75">
        <f t="shared" si="82"/>
        <v>-1.1168749847223491E-3</v>
      </c>
      <c r="AI92" s="7">
        <f t="shared" si="83"/>
        <v>36.011995525326277</v>
      </c>
      <c r="AJ92" s="7">
        <f t="shared" si="69"/>
        <v>36.586441983928978</v>
      </c>
      <c r="AK92" s="75">
        <f t="shared" si="84"/>
        <v>-1.1168749847223491E-3</v>
      </c>
      <c r="AL92">
        <f t="shared" si="85"/>
        <v>-7.1502292525903559E-3</v>
      </c>
      <c r="AM92">
        <f t="shared" si="86"/>
        <v>-7.4706716165801068E-4</v>
      </c>
      <c r="AN92" s="75">
        <f t="shared" si="70"/>
        <v>-2.6677241082850855E-8</v>
      </c>
      <c r="AO92" s="7">
        <f t="shared" si="87"/>
        <v>35.854498391302599</v>
      </c>
    </row>
    <row r="93" spans="2:41" x14ac:dyDescent="0.25">
      <c r="B93">
        <v>6.4</v>
      </c>
      <c r="C93" s="7">
        <f t="shared" si="59"/>
        <v>42.333333333333336</v>
      </c>
      <c r="D93" s="7">
        <f t="shared" si="53"/>
        <v>43.533333333333339</v>
      </c>
      <c r="E93">
        <f t="shared" si="54"/>
        <v>-5.3539016754781787E-2</v>
      </c>
      <c r="F93">
        <f t="shared" si="51"/>
        <v>-1.1511855098484451E-2</v>
      </c>
      <c r="G93">
        <f t="shared" si="52"/>
        <v>-5.2766240862645942E-4</v>
      </c>
      <c r="H93" s="75">
        <f t="shared" si="71"/>
        <v>-6.5959683950822523E-4</v>
      </c>
      <c r="I93" s="7">
        <f t="shared" si="60"/>
        <v>37.040537152768088</v>
      </c>
      <c r="J93" s="7">
        <f t="shared" si="61"/>
        <v>38.240537152768091</v>
      </c>
      <c r="K93" s="75">
        <f t="shared" si="62"/>
        <v>-6.5959683950822523E-4</v>
      </c>
      <c r="L93">
        <f t="shared" si="63"/>
        <v>-8.3324983352476741E-3</v>
      </c>
      <c r="M93">
        <f t="shared" si="64"/>
        <v>-6.8383611299636417E-4</v>
      </c>
      <c r="N93" s="75">
        <f t="shared" si="65"/>
        <v>-2.9905202758584437E-9</v>
      </c>
      <c r="O93" s="7">
        <f t="shared" si="66"/>
        <v>36.96111878569657</v>
      </c>
      <c r="Q93" s="7">
        <f t="shared" si="55"/>
        <v>43.51227565113016</v>
      </c>
      <c r="R93">
        <f t="shared" si="56"/>
        <v>-5.3738963850867627E-2</v>
      </c>
      <c r="S93">
        <f t="shared" si="72"/>
        <v>-1.1500738373857847E-2</v>
      </c>
      <c r="T93">
        <f t="shared" si="73"/>
        <v>-5.2817325462578709E-4</v>
      </c>
      <c r="U93" s="75">
        <f t="shared" si="74"/>
        <v>-6.724985466883826E-4</v>
      </c>
      <c r="V93" s="7">
        <f t="shared" si="75"/>
        <v>37.009959204577918</v>
      </c>
      <c r="W93" s="7">
        <f t="shared" si="67"/>
        <v>38.188901522374742</v>
      </c>
      <c r="X93" s="75">
        <f t="shared" si="76"/>
        <v>-6.724985466883826E-4</v>
      </c>
      <c r="Y93">
        <f t="shared" si="77"/>
        <v>-8.2971402830136279E-3</v>
      </c>
      <c r="Z93">
        <f t="shared" si="78"/>
        <v>-6.8568660772643495E-4</v>
      </c>
      <c r="AA93" s="75">
        <f t="shared" si="68"/>
        <v>-3.2243030467782319E-9</v>
      </c>
      <c r="AB93" s="7">
        <f t="shared" si="79"/>
        <v>36.928634071711556</v>
      </c>
      <c r="AD93" s="7">
        <f t="shared" si="57"/>
        <v>42.918095961401058</v>
      </c>
      <c r="AE93">
        <f t="shared" si="58"/>
        <v>-5.9478220682717575E-2</v>
      </c>
      <c r="AF93">
        <f t="shared" si="80"/>
        <v>-1.1182563735544635E-2</v>
      </c>
      <c r="AG93">
        <f t="shared" si="81"/>
        <v>-5.4289908168573804E-4</v>
      </c>
      <c r="AH93" s="75">
        <f t="shared" si="82"/>
        <v>-1.1710126222119754E-3</v>
      </c>
      <c r="AI93" s="7">
        <f t="shared" si="83"/>
        <v>36.058831202111257</v>
      </c>
      <c r="AJ93" s="7">
        <f t="shared" si="69"/>
        <v>36.643593830178979</v>
      </c>
      <c r="AK93" s="75">
        <f t="shared" si="84"/>
        <v>-1.1710126222119754E-3</v>
      </c>
      <c r="AL93">
        <f t="shared" si="85"/>
        <v>-7.1928589281431594E-3</v>
      </c>
      <c r="AM93">
        <f t="shared" si="86"/>
        <v>-7.4473862522924934E-4</v>
      </c>
      <c r="AN93" s="75">
        <f t="shared" si="70"/>
        <v>-3.0091883651550688E-8</v>
      </c>
      <c r="AO93" s="7">
        <f t="shared" si="87"/>
        <v>35.89463334146177</v>
      </c>
    </row>
    <row r="94" spans="2:41" x14ac:dyDescent="0.25">
      <c r="B94">
        <v>6.48</v>
      </c>
      <c r="C94" s="7">
        <f t="shared" si="59"/>
        <v>42.5</v>
      </c>
      <c r="D94" s="7">
        <f t="shared" si="53"/>
        <v>43.715000000000003</v>
      </c>
      <c r="E94">
        <f t="shared" si="54"/>
        <v>-5.5121778732929894E-2</v>
      </c>
      <c r="F94">
        <f t="shared" si="51"/>
        <v>-1.1607315408977428E-2</v>
      </c>
      <c r="G94">
        <f t="shared" si="52"/>
        <v>-5.2328590213227097E-4</v>
      </c>
      <c r="H94" s="75">
        <f t="shared" si="71"/>
        <v>-6.9618795330850247E-4</v>
      </c>
      <c r="I94" s="7">
        <f t="shared" si="60"/>
        <v>37.091823619621898</v>
      </c>
      <c r="J94" s="7">
        <f t="shared" si="61"/>
        <v>38.306823619621902</v>
      </c>
      <c r="K94" s="75">
        <f t="shared" si="62"/>
        <v>-6.9618795330850247E-4</v>
      </c>
      <c r="L94">
        <f t="shared" si="63"/>
        <v>-8.37774897724404E-3</v>
      </c>
      <c r="M94">
        <f t="shared" si="64"/>
        <v>-6.8147152848438853E-4</v>
      </c>
      <c r="N94" s="75">
        <f t="shared" si="65"/>
        <v>-3.4433675910605643E-9</v>
      </c>
      <c r="O94" s="7">
        <f t="shared" si="66"/>
        <v>37.008441202213369</v>
      </c>
      <c r="Q94" s="7">
        <f t="shared" si="55"/>
        <v>43.693782004689396</v>
      </c>
      <c r="R94">
        <f t="shared" si="56"/>
        <v>-5.5323383692825301E-2</v>
      </c>
      <c r="S94">
        <f t="shared" si="72"/>
        <v>-1.1596206939430389E-2</v>
      </c>
      <c r="T94">
        <f t="shared" si="73"/>
        <v>-5.2379424785895141E-4</v>
      </c>
      <c r="U94" s="75">
        <f t="shared" si="74"/>
        <v>-7.0961240359701527E-4</v>
      </c>
      <c r="V94" s="7">
        <f t="shared" si="75"/>
        <v>37.061086461163228</v>
      </c>
      <c r="W94" s="7">
        <f t="shared" si="67"/>
        <v>38.254868465852624</v>
      </c>
      <c r="X94" s="75">
        <f t="shared" si="76"/>
        <v>-7.0961240359701527E-4</v>
      </c>
      <c r="Y94">
        <f t="shared" si="77"/>
        <v>-8.3422949332343371E-3</v>
      </c>
      <c r="Z94">
        <f t="shared" si="78"/>
        <v>-6.8332384179517003E-4</v>
      </c>
      <c r="AA94" s="75">
        <f t="shared" si="68"/>
        <v>-3.7095044813639788E-9</v>
      </c>
      <c r="AB94" s="7">
        <f t="shared" si="79"/>
        <v>36.975726030274998</v>
      </c>
      <c r="AD94" s="7">
        <f t="shared" si="57"/>
        <v>43.095078797532743</v>
      </c>
      <c r="AE94">
        <f t="shared" si="58"/>
        <v>-6.1110091836817482E-2</v>
      </c>
      <c r="AF94">
        <f t="shared" si="80"/>
        <v>-1.1278252957800567E-2</v>
      </c>
      <c r="AG94">
        <f t="shared" si="81"/>
        <v>-5.384490830590517E-4</v>
      </c>
      <c r="AH94" s="75">
        <f t="shared" si="82"/>
        <v>-1.2265644775555362E-3</v>
      </c>
      <c r="AI94" s="7">
        <f t="shared" si="83"/>
        <v>36.105526131540543</v>
      </c>
      <c r="AJ94" s="7">
        <f t="shared" si="69"/>
        <v>36.700604929073286</v>
      </c>
      <c r="AK94" s="75">
        <f t="shared" si="84"/>
        <v>-1.2265644775555362E-3</v>
      </c>
      <c r="AL94">
        <f t="shared" si="85"/>
        <v>-7.2352513402898846E-3</v>
      </c>
      <c r="AM94">
        <f t="shared" si="86"/>
        <v>-7.4242665299543845E-4</v>
      </c>
      <c r="AN94" s="75">
        <f t="shared" si="70"/>
        <v>-3.3851129899176158E-8</v>
      </c>
      <c r="AO94" s="7">
        <f t="shared" si="87"/>
        <v>35.934499240777377</v>
      </c>
    </row>
    <row r="95" spans="2:41" x14ac:dyDescent="0.25">
      <c r="B95">
        <v>6.5600000000000005</v>
      </c>
      <c r="C95" s="7">
        <f t="shared" si="59"/>
        <v>42.666666666666671</v>
      </c>
      <c r="D95" s="7">
        <f t="shared" si="53"/>
        <v>43.896666666666668</v>
      </c>
      <c r="E95">
        <f t="shared" si="54"/>
        <v>-5.6721810748547208E-2</v>
      </c>
      <c r="F95">
        <f t="shared" si="51"/>
        <v>-1.1701985593124919E-2</v>
      </c>
      <c r="G95">
        <f t="shared" si="52"/>
        <v>-5.1896361973342094E-4</v>
      </c>
      <c r="H95" s="75">
        <f t="shared" si="71"/>
        <v>-7.3392636553615276E-4</v>
      </c>
      <c r="I95" s="7">
        <f t="shared" si="60"/>
        <v>37.142890797438547</v>
      </c>
      <c r="J95" s="7">
        <f t="shared" si="61"/>
        <v>38.372890797438544</v>
      </c>
      <c r="K95" s="75">
        <f t="shared" si="62"/>
        <v>-7.3392636553615276E-4</v>
      </c>
      <c r="L95">
        <f t="shared" si="63"/>
        <v>-8.4226943612945374E-3</v>
      </c>
      <c r="M95">
        <f t="shared" si="64"/>
        <v>-6.7912694920380275E-4</v>
      </c>
      <c r="N95" s="75">
        <f t="shared" si="65"/>
        <v>-3.9514256311434792E-9</v>
      </c>
      <c r="O95" s="7">
        <f t="shared" si="66"/>
        <v>37.055445752875571</v>
      </c>
      <c r="Q95" s="7">
        <f t="shared" si="55"/>
        <v>43.875288358248646</v>
      </c>
      <c r="R95">
        <f t="shared" si="56"/>
        <v>-5.692505985280305E-2</v>
      </c>
      <c r="S95">
        <f t="shared" si="72"/>
        <v>-1.1690885622959307E-2</v>
      </c>
      <c r="T95">
        <f t="shared" si="73"/>
        <v>-5.1946947474466973E-4</v>
      </c>
      <c r="U95" s="75">
        <f t="shared" si="74"/>
        <v>-7.4788225300559397E-4</v>
      </c>
      <c r="V95" s="7">
        <f t="shared" si="75"/>
        <v>37.11199700832718</v>
      </c>
      <c r="W95" s="7">
        <f t="shared" si="67"/>
        <v>38.320618699909154</v>
      </c>
      <c r="X95" s="75">
        <f t="shared" si="76"/>
        <v>-7.4788225300559397E-4</v>
      </c>
      <c r="Y95">
        <f t="shared" si="77"/>
        <v>-8.3871465474333676E-3</v>
      </c>
      <c r="Z95">
        <f t="shared" si="78"/>
        <v>-6.8098096947787935E-4</v>
      </c>
      <c r="AA95" s="75">
        <f t="shared" si="68"/>
        <v>-4.2534555877438152E-9</v>
      </c>
      <c r="AB95" s="7">
        <f t="shared" si="79"/>
        <v>37.022501806324158</v>
      </c>
      <c r="AD95" s="7">
        <f t="shared" si="57"/>
        <v>43.272061633664435</v>
      </c>
      <c r="AE95">
        <f t="shared" si="58"/>
        <v>-6.2758828933007216E-2</v>
      </c>
      <c r="AF95">
        <f t="shared" si="80"/>
        <v>-1.137315944175827E-2</v>
      </c>
      <c r="AG95">
        <f t="shared" si="81"/>
        <v>-5.3405357421086629E-4</v>
      </c>
      <c r="AH95" s="75">
        <f t="shared" si="82"/>
        <v>-1.283530468035865E-3</v>
      </c>
      <c r="AI95" s="7">
        <f t="shared" si="83"/>
        <v>36.152083794501166</v>
      </c>
      <c r="AJ95" s="7">
        <f t="shared" si="69"/>
        <v>36.75747876149893</v>
      </c>
      <c r="AK95" s="75">
        <f t="shared" si="84"/>
        <v>-1.283530468035865E-3</v>
      </c>
      <c r="AL95">
        <f t="shared" si="85"/>
        <v>-7.2774106563065523E-3</v>
      </c>
      <c r="AM95">
        <f t="shared" si="86"/>
        <v>-7.4013095786316376E-4</v>
      </c>
      <c r="AN95" s="75">
        <f t="shared" si="70"/>
        <v>-3.7980050882069349E-8</v>
      </c>
      <c r="AO95" s="7">
        <f t="shared" si="87"/>
        <v>35.974101074068734</v>
      </c>
    </row>
    <row r="96" spans="2:41" x14ac:dyDescent="0.25">
      <c r="B96">
        <v>6.6400000000000006</v>
      </c>
      <c r="C96" s="7">
        <f t="shared" si="59"/>
        <v>42.833333333333336</v>
      </c>
      <c r="D96" s="7">
        <f t="shared" si="53"/>
        <v>44.078333333333333</v>
      </c>
      <c r="E96">
        <f t="shared" si="54"/>
        <v>-5.833897015185352E-2</v>
      </c>
      <c r="F96">
        <f t="shared" si="51"/>
        <v>-1.1795875420326663E-2</v>
      </c>
      <c r="G96">
        <f t="shared" si="52"/>
        <v>-5.1469466934691253E-4</v>
      </c>
      <c r="H96" s="75">
        <f t="shared" si="71"/>
        <v>-7.7281663982553539E-4</v>
      </c>
      <c r="I96" s="7">
        <f t="shared" si="60"/>
        <v>37.193743925867622</v>
      </c>
      <c r="J96" s="7">
        <f t="shared" si="61"/>
        <v>38.43874392586762</v>
      </c>
      <c r="K96" s="75">
        <f t="shared" si="62"/>
        <v>-7.7281663982553539E-4</v>
      </c>
      <c r="L96">
        <f t="shared" si="63"/>
        <v>-8.4673403768317154E-3</v>
      </c>
      <c r="M96">
        <f t="shared" si="64"/>
        <v>-6.7680198640285652E-4</v>
      </c>
      <c r="N96" s="75">
        <f t="shared" si="65"/>
        <v>-4.5197585674117136E-9</v>
      </c>
      <c r="O96" s="7">
        <f t="shared" si="66"/>
        <v>37.102138258622034</v>
      </c>
      <c r="Q96" s="7">
        <f t="shared" si="55"/>
        <v>44.056794711807882</v>
      </c>
      <c r="R96">
        <f t="shared" si="56"/>
        <v>-5.8543849850622109E-2</v>
      </c>
      <c r="S96">
        <f t="shared" si="72"/>
        <v>-1.1784784186975688E-2</v>
      </c>
      <c r="T96">
        <f t="shared" si="73"/>
        <v>-5.1519804339353293E-4</v>
      </c>
      <c r="U96" s="75">
        <f t="shared" si="74"/>
        <v>-7.8731252116481798E-4</v>
      </c>
      <c r="V96" s="7">
        <f t="shared" si="75"/>
        <v>37.162696030597104</v>
      </c>
      <c r="W96" s="7">
        <f t="shared" si="67"/>
        <v>38.38615740907165</v>
      </c>
      <c r="X96" s="75">
        <f t="shared" si="76"/>
        <v>-7.8731252116481798E-4</v>
      </c>
      <c r="Y96">
        <f t="shared" si="77"/>
        <v>-8.431700960938749E-3</v>
      </c>
      <c r="Z96">
        <f t="shared" si="78"/>
        <v>-6.7865760519166636E-4</v>
      </c>
      <c r="AA96" s="75">
        <f t="shared" si="68"/>
        <v>-4.8615047543165701E-9</v>
      </c>
      <c r="AB96" s="7">
        <f t="shared" si="79"/>
        <v>37.068967189785916</v>
      </c>
      <c r="AD96" s="7">
        <f t="shared" si="57"/>
        <v>43.449044469796121</v>
      </c>
      <c r="AE96">
        <f t="shared" si="58"/>
        <v>-6.4424294288782269E-2</v>
      </c>
      <c r="AF96">
        <f t="shared" si="80"/>
        <v>-1.1467292752501083E-2</v>
      </c>
      <c r="AG96">
        <f t="shared" si="81"/>
        <v>-5.2971166912975311E-4</v>
      </c>
      <c r="AH96" s="75">
        <f t="shared" si="82"/>
        <v>-1.3419100547220619E-3</v>
      </c>
      <c r="AI96" s="7">
        <f t="shared" si="83"/>
        <v>36.198507503880329</v>
      </c>
      <c r="AJ96" s="7">
        <f t="shared" si="69"/>
        <v>36.814218640343114</v>
      </c>
      <c r="AK96" s="75">
        <f t="shared" si="84"/>
        <v>-1.3419100547220619E-3</v>
      </c>
      <c r="AL96">
        <f t="shared" si="85"/>
        <v>-7.3193408725225617E-3</v>
      </c>
      <c r="AM96">
        <f t="shared" si="86"/>
        <v>-7.378512637614391E-4</v>
      </c>
      <c r="AN96" s="75">
        <f t="shared" si="70"/>
        <v>-4.2504754160788139E-8</v>
      </c>
      <c r="AO96" s="7">
        <f t="shared" si="87"/>
        <v>36.013443674717713</v>
      </c>
    </row>
    <row r="97" spans="2:41" x14ac:dyDescent="0.25">
      <c r="B97">
        <v>6.72</v>
      </c>
      <c r="C97" s="7">
        <f t="shared" si="59"/>
        <v>43</v>
      </c>
      <c r="D97" s="7">
        <f t="shared" si="53"/>
        <v>44.26</v>
      </c>
      <c r="E97">
        <f t="shared" si="54"/>
        <v>-5.997311605322575E-2</v>
      </c>
      <c r="F97">
        <f t="shared" si="51"/>
        <v>-1.1888994499587077E-2</v>
      </c>
      <c r="G97">
        <f t="shared" si="52"/>
        <v>-5.1047817716002209E-4</v>
      </c>
      <c r="H97" s="75">
        <f t="shared" si="71"/>
        <v>-8.1286285577375494E-4</v>
      </c>
      <c r="I97" s="7">
        <f t="shared" si="60"/>
        <v>37.244388037026248</v>
      </c>
      <c r="J97" s="7">
        <f t="shared" si="61"/>
        <v>38.504388037026246</v>
      </c>
      <c r="K97" s="75">
        <f t="shared" si="62"/>
        <v>-8.1286285577375494E-4</v>
      </c>
      <c r="L97">
        <f t="shared" si="63"/>
        <v>-8.5116926985825715E-3</v>
      </c>
      <c r="M97">
        <f t="shared" si="64"/>
        <v>-6.7449626513043184E-4</v>
      </c>
      <c r="N97" s="75">
        <f t="shared" si="65"/>
        <v>-5.1537345502339349E-9</v>
      </c>
      <c r="O97" s="7">
        <f t="shared" si="66"/>
        <v>37.148524365458606</v>
      </c>
      <c r="Q97" s="7">
        <f t="shared" si="55"/>
        <v>44.238301065367125</v>
      </c>
      <c r="R97">
        <f t="shared" si="56"/>
        <v>-6.017961296347174E-2</v>
      </c>
      <c r="S97">
        <f t="shared" si="72"/>
        <v>-1.1877912233790977E-2</v>
      </c>
      <c r="T97">
        <f t="shared" si="73"/>
        <v>-5.1097908017528617E-4</v>
      </c>
      <c r="U97" s="75">
        <f t="shared" si="74"/>
        <v>-8.2790715054414932E-4</v>
      </c>
      <c r="V97" s="7">
        <f t="shared" si="75"/>
        <v>37.213188506230395</v>
      </c>
      <c r="W97" s="7">
        <f t="shared" si="67"/>
        <v>38.45148957159752</v>
      </c>
      <c r="X97" s="75">
        <f t="shared" si="76"/>
        <v>-8.2790715054414932E-4</v>
      </c>
      <c r="Y97">
        <f t="shared" si="77"/>
        <v>-8.4759637957979445E-3</v>
      </c>
      <c r="Z97">
        <f t="shared" si="78"/>
        <v>-6.7635337706401432E-4</v>
      </c>
      <c r="AA97" s="75">
        <f t="shared" si="68"/>
        <v>-5.5393130082848074E-9</v>
      </c>
      <c r="AB97" s="7">
        <f t="shared" si="79"/>
        <v>37.115127796590038</v>
      </c>
      <c r="AD97" s="7">
        <f t="shared" si="57"/>
        <v>43.626027305927806</v>
      </c>
      <c r="AE97">
        <f t="shared" si="58"/>
        <v>-6.6106351900713456E-2</v>
      </c>
      <c r="AF97">
        <f t="shared" si="80"/>
        <v>-1.1560662299897176E-2</v>
      </c>
      <c r="AG97">
        <f t="shared" si="81"/>
        <v>-5.2542249973968811E-4</v>
      </c>
      <c r="AH97" s="75">
        <f t="shared" si="82"/>
        <v>-1.4017022627754727E-3</v>
      </c>
      <c r="AI97" s="7">
        <f t="shared" si="83"/>
        <v>36.244800413402622</v>
      </c>
      <c r="AJ97" s="7">
        <f t="shared" si="69"/>
        <v>36.870827719330428</v>
      </c>
      <c r="AK97" s="75">
        <f t="shared" si="84"/>
        <v>-1.4017022627754727E-3</v>
      </c>
      <c r="AL97">
        <f t="shared" si="85"/>
        <v>-7.3610458234549536E-3</v>
      </c>
      <c r="AM97">
        <f t="shared" si="86"/>
        <v>-7.3558730505568449E-4</v>
      </c>
      <c r="AN97" s="75">
        <f t="shared" si="70"/>
        <v>-4.7452383578061585E-8</v>
      </c>
      <c r="AO97" s="7">
        <f t="shared" si="87"/>
        <v>36.052531731040119</v>
      </c>
    </row>
    <row r="98" spans="2:41" x14ac:dyDescent="0.25">
      <c r="B98">
        <v>6.8</v>
      </c>
      <c r="C98" s="7">
        <f t="shared" si="59"/>
        <v>43.166666666666671</v>
      </c>
      <c r="D98" s="7">
        <f t="shared" si="53"/>
        <v>44.44166666666667</v>
      </c>
      <c r="E98">
        <f t="shared" si="54"/>
        <v>-6.1624109294354579E-2</v>
      </c>
      <c r="F98">
        <f t="shared" si="51"/>
        <v>-1.1981352282793539E-2</v>
      </c>
      <c r="G98">
        <f t="shared" si="52"/>
        <v>-5.0631328718311148E-4</v>
      </c>
      <c r="H98" s="75">
        <f t="shared" si="71"/>
        <v>-8.5406862517967141E-4</v>
      </c>
      <c r="I98" s="7">
        <f t="shared" si="60"/>
        <v>37.294827964975354</v>
      </c>
      <c r="J98" s="7">
        <f t="shared" si="61"/>
        <v>38.569827964975353</v>
      </c>
      <c r="K98" s="75">
        <f t="shared" si="62"/>
        <v>-8.5406862517967141E-4</v>
      </c>
      <c r="L98">
        <f t="shared" si="63"/>
        <v>-8.5557567966710428E-3</v>
      </c>
      <c r="M98">
        <f t="shared" si="64"/>
        <v>-6.7220942358266439E-4</v>
      </c>
      <c r="N98" s="75">
        <f t="shared" si="65"/>
        <v>-5.8590265972213729E-9</v>
      </c>
      <c r="O98" s="7">
        <f t="shared" si="66"/>
        <v>37.194609551730011</v>
      </c>
      <c r="Q98" s="7">
        <f t="shared" si="55"/>
        <v>44.419807418926368</v>
      </c>
      <c r="R98">
        <f t="shared" si="56"/>
        <v>-6.1832210197132031E-2</v>
      </c>
      <c r="S98">
        <f t="shared" si="72"/>
        <v>-1.1970279208770356E-2</v>
      </c>
      <c r="T98">
        <f t="shared" si="73"/>
        <v>-5.0681172927209033E-4</v>
      </c>
      <c r="U98" s="75">
        <f t="shared" si="74"/>
        <v>-8.6966961620804639E-4</v>
      </c>
      <c r="V98" s="7">
        <f t="shared" si="75"/>
        <v>37.263479216662191</v>
      </c>
      <c r="W98" s="7">
        <f t="shared" si="67"/>
        <v>38.516619968921887</v>
      </c>
      <c r="X98" s="75">
        <f t="shared" si="76"/>
        <v>-8.6966961620804639E-4</v>
      </c>
      <c r="Y98">
        <f t="shared" si="77"/>
        <v>-8.5199404708396591E-3</v>
      </c>
      <c r="Z98">
        <f t="shared" si="78"/>
        <v>-6.7406792628218039E-4</v>
      </c>
      <c r="AA98" s="75">
        <f t="shared" si="68"/>
        <v>-6.2928620092606025E-9</v>
      </c>
      <c r="AB98" s="7">
        <f t="shared" si="79"/>
        <v>37.16098907590235</v>
      </c>
      <c r="AD98" s="7">
        <f t="shared" si="57"/>
        <v>43.803010142059499</v>
      </c>
      <c r="AE98">
        <f t="shared" si="58"/>
        <v>-6.7804867417252224E-2</v>
      </c>
      <c r="AF98">
        <f t="shared" si="80"/>
        <v>-1.1653277341735189E-2</v>
      </c>
      <c r="AG98">
        <f t="shared" si="81"/>
        <v>-5.2118521546613253E-4</v>
      </c>
      <c r="AH98" s="75">
        <f t="shared" si="82"/>
        <v>-1.4629057010930868E-3</v>
      </c>
      <c r="AI98" s="7">
        <f t="shared" si="83"/>
        <v>36.290965525975722</v>
      </c>
      <c r="AJ98" s="7">
        <f t="shared" si="69"/>
        <v>36.927309001368549</v>
      </c>
      <c r="AK98" s="75">
        <f t="shared" si="84"/>
        <v>-1.4629057010930868E-3</v>
      </c>
      <c r="AL98">
        <f t="shared" si="85"/>
        <v>-7.4025291904070596E-3</v>
      </c>
      <c r="AM98">
        <f t="shared" si="86"/>
        <v>-7.333388259967437E-4</v>
      </c>
      <c r="AN98" s="75">
        <f t="shared" si="70"/>
        <v>-5.2851112819496393E-8</v>
      </c>
      <c r="AO98" s="7">
        <f t="shared" si="87"/>
        <v>36.091369792315888</v>
      </c>
    </row>
    <row r="99" spans="2:41" x14ac:dyDescent="0.25">
      <c r="B99">
        <v>6.88</v>
      </c>
      <c r="C99" s="7">
        <f t="shared" si="59"/>
        <v>43.333333333333336</v>
      </c>
      <c r="D99" s="7">
        <f t="shared" si="53"/>
        <v>44.623333333333335</v>
      </c>
      <c r="E99">
        <f t="shared" si="54"/>
        <v>-6.329181241999593E-2</v>
      </c>
      <c r="F99">
        <f t="shared" si="51"/>
        <v>-1.2072958067914575E-2</v>
      </c>
      <c r="G99">
        <f t="shared" si="52"/>
        <v>-5.0219916081515822E-4</v>
      </c>
      <c r="H99" s="75">
        <f t="shared" si="71"/>
        <v>-8.9643710796938336E-4</v>
      </c>
      <c r="I99" s="7">
        <f t="shared" si="60"/>
        <v>37.345068354713476</v>
      </c>
      <c r="J99" s="7">
        <f t="shared" si="61"/>
        <v>38.635068354713475</v>
      </c>
      <c r="K99" s="75">
        <f t="shared" si="62"/>
        <v>-8.9643710796938336E-4</v>
      </c>
      <c r="L99">
        <f t="shared" si="63"/>
        <v>-8.5995379461751738E-3</v>
      </c>
      <c r="M99">
        <f t="shared" si="64"/>
        <v>-6.6994111248561388E-4</v>
      </c>
      <c r="N99" s="75">
        <f t="shared" si="65"/>
        <v>-6.6416212529674112E-9</v>
      </c>
      <c r="O99" s="7">
        <f t="shared" si="66"/>
        <v>37.240399135007912</v>
      </c>
      <c r="Q99" s="7">
        <f t="shared" si="55"/>
        <v>44.601313772485604</v>
      </c>
      <c r="R99">
        <f t="shared" si="56"/>
        <v>-6.3501504257773345E-2</v>
      </c>
      <c r="S99">
        <f t="shared" si="72"/>
        <v>-1.2061894403526247E-2</v>
      </c>
      <c r="T99">
        <f t="shared" si="73"/>
        <v>-5.0269515224447858E-4</v>
      </c>
      <c r="U99" s="75">
        <f t="shared" si="74"/>
        <v>-9.1260294188311164E-4</v>
      </c>
      <c r="V99" s="7">
        <f t="shared" si="75"/>
        <v>37.313572755473054</v>
      </c>
      <c r="W99" s="7">
        <f t="shared" si="67"/>
        <v>38.581553194625322</v>
      </c>
      <c r="X99" s="75">
        <f t="shared" si="76"/>
        <v>-9.1260294188311164E-4</v>
      </c>
      <c r="Y99">
        <f t="shared" si="77"/>
        <v>-8.5636362111930105E-3</v>
      </c>
      <c r="Z99">
        <f t="shared" si="78"/>
        <v>-6.7180090647847113E-4</v>
      </c>
      <c r="AA99" s="75">
        <f t="shared" si="68"/>
        <v>-7.1284589342468507E-9</v>
      </c>
      <c r="AB99" s="7">
        <f t="shared" si="79"/>
        <v>37.20655631697597</v>
      </c>
      <c r="AD99" s="7">
        <f t="shared" si="57"/>
        <v>43.979992978191184</v>
      </c>
      <c r="AE99">
        <f t="shared" si="58"/>
        <v>-6.9519708112088408E-2</v>
      </c>
      <c r="AF99">
        <f t="shared" si="80"/>
        <v>-1.1745146986784201E-2</v>
      </c>
      <c r="AG99">
        <f t="shared" si="81"/>
        <v>-5.1699898281431253E-4</v>
      </c>
      <c r="AH99" s="75">
        <f t="shared" si="82"/>
        <v>-1.5255185812825811E-3</v>
      </c>
      <c r="AI99" s="7">
        <f t="shared" si="83"/>
        <v>36.337005701572771</v>
      </c>
      <c r="AJ99" s="7">
        <f t="shared" si="69"/>
        <v>36.98366534643062</v>
      </c>
      <c r="AK99" s="75">
        <f t="shared" si="84"/>
        <v>-1.5255185812825811E-3</v>
      </c>
      <c r="AL99">
        <f t="shared" si="85"/>
        <v>-7.4437945095645157E-3</v>
      </c>
      <c r="AM99">
        <f t="shared" si="86"/>
        <v>-7.3110558020271325E-4</v>
      </c>
      <c r="AN99" s="75">
        <f t="shared" si="70"/>
        <v>-5.8730142304952437E-8</v>
      </c>
      <c r="AO99" s="7">
        <f t="shared" si="87"/>
        <v>36.12996227450099</v>
      </c>
    </row>
    <row r="100" spans="2:41" x14ac:dyDescent="0.25">
      <c r="B100">
        <v>6.96</v>
      </c>
      <c r="C100" s="7">
        <f t="shared" si="59"/>
        <v>43.5</v>
      </c>
      <c r="D100" s="7">
        <f t="shared" si="53"/>
        <v>44.805</v>
      </c>
      <c r="E100">
        <f t="shared" si="54"/>
        <v>-6.4976089650291335E-2</v>
      </c>
      <c r="F100">
        <f t="shared" si="51"/>
        <v>-1.2163821002120299E-2</v>
      </c>
      <c r="G100">
        <f t="shared" si="52"/>
        <v>-4.981349764215904E-4</v>
      </c>
      <c r="H100" s="75">
        <f t="shared" si="71"/>
        <v>-9.3997102780907227E-4</v>
      </c>
      <c r="I100" s="7">
        <f t="shared" si="60"/>
        <v>37.39511367071708</v>
      </c>
      <c r="J100" s="7">
        <f t="shared" si="61"/>
        <v>38.70011367071708</v>
      </c>
      <c r="K100" s="75">
        <f t="shared" si="62"/>
        <v>-9.3997102780907227E-4</v>
      </c>
      <c r="L100">
        <f t="shared" si="63"/>
        <v>-8.6430412361729672E-3</v>
      </c>
      <c r="M100">
        <f t="shared" si="64"/>
        <v>-6.6769099451169389E-4</v>
      </c>
      <c r="N100" s="75">
        <f t="shared" si="65"/>
        <v>-7.5078203654044273E-9</v>
      </c>
      <c r="O100" s="7">
        <f t="shared" si="66"/>
        <v>37.285898278619406</v>
      </c>
      <c r="Q100" s="7">
        <f t="shared" si="55"/>
        <v>44.782820126044847</v>
      </c>
      <c r="R100">
        <f t="shared" si="56"/>
        <v>-6.5187359524337074E-2</v>
      </c>
      <c r="S100">
        <f t="shared" si="72"/>
        <v>-1.2152766959034143E-2</v>
      </c>
      <c r="T100">
        <f t="shared" si="73"/>
        <v>-4.9862852760960464E-4</v>
      </c>
      <c r="U100" s="75">
        <f t="shared" si="74"/>
        <v>-9.5670971569217222E-4</v>
      </c>
      <c r="V100" s="7">
        <f t="shared" si="75"/>
        <v>37.363473536902163</v>
      </c>
      <c r="W100" s="7">
        <f t="shared" si="67"/>
        <v>38.646293662947009</v>
      </c>
      <c r="X100" s="75">
        <f t="shared" si="76"/>
        <v>-9.5670971569217222E-4</v>
      </c>
      <c r="Y100">
        <f t="shared" si="77"/>
        <v>-8.6070560572955312E-3</v>
      </c>
      <c r="Z100">
        <f t="shared" si="78"/>
        <v>-6.6955198314924116E-4</v>
      </c>
      <c r="AA100" s="75">
        <f t="shared" si="68"/>
        <v>-8.0527402523955516E-9</v>
      </c>
      <c r="AB100" s="7">
        <f t="shared" si="79"/>
        <v>37.251834655644636</v>
      </c>
      <c r="AD100" s="7">
        <f t="shared" si="57"/>
        <v>44.15697581432287</v>
      </c>
      <c r="AE100">
        <f t="shared" si="58"/>
        <v>-7.1250742858042226E-2</v>
      </c>
      <c r="AF100">
        <f t="shared" si="80"/>
        <v>-1.1836280197780144E-2</v>
      </c>
      <c r="AG100">
        <f t="shared" si="81"/>
        <v>-5.1286298495930606E-4</v>
      </c>
      <c r="AH100" s="75">
        <f t="shared" si="82"/>
        <v>-1.5895387359898816E-3</v>
      </c>
      <c r="AI100" s="7">
        <f t="shared" si="83"/>
        <v>36.382923664679637</v>
      </c>
      <c r="AJ100" s="7">
        <f t="shared" si="69"/>
        <v>37.039899479002507</v>
      </c>
      <c r="AK100" s="75">
        <f t="shared" si="84"/>
        <v>-1.5895387359898816E-3</v>
      </c>
      <c r="AL100">
        <f t="shared" si="85"/>
        <v>-7.484845179620829E-3</v>
      </c>
      <c r="AM100">
        <f t="shared" si="86"/>
        <v>-7.2888733017144487E-4</v>
      </c>
      <c r="AN100" s="75">
        <f t="shared" si="70"/>
        <v>-6.5119688974490941E-8</v>
      </c>
      <c r="AO100" s="7">
        <f t="shared" si="87"/>
        <v>36.168313465640885</v>
      </c>
    </row>
    <row r="101" spans="2:41" x14ac:dyDescent="0.25">
      <c r="B101">
        <v>7.04</v>
      </c>
      <c r="C101" s="7">
        <f t="shared" si="59"/>
        <v>43.666666666666671</v>
      </c>
      <c r="D101" s="7">
        <f t="shared" si="53"/>
        <v>44.986666666666672</v>
      </c>
      <c r="E101">
        <f t="shared" si="54"/>
        <v>-6.6676806853652515E-2</v>
      </c>
      <c r="F101">
        <f t="shared" si="51"/>
        <v>-1.225395008482718E-2</v>
      </c>
      <c r="G101">
        <f t="shared" si="52"/>
        <v>-4.9411992892403243E-4</v>
      </c>
      <c r="H101" s="75">
        <f t="shared" si="71"/>
        <v>-9.8467268738677838E-4</v>
      </c>
      <c r="I101" s="7">
        <f t="shared" si="60"/>
        <v>37.444968205052085</v>
      </c>
      <c r="J101" s="7">
        <f t="shared" si="61"/>
        <v>38.764968205052085</v>
      </c>
      <c r="K101" s="75">
        <f t="shared" si="62"/>
        <v>-9.8467268738677838E-4</v>
      </c>
      <c r="L101">
        <f t="shared" si="63"/>
        <v>-8.6862715783070435E-3</v>
      </c>
      <c r="M101">
        <f t="shared" si="64"/>
        <v>-6.6545874372781399E-4</v>
      </c>
      <c r="N101" s="75">
        <f t="shared" si="65"/>
        <v>-8.4642497455433841E-9</v>
      </c>
      <c r="O101" s="7">
        <f t="shared" si="66"/>
        <v>37.331111997838626</v>
      </c>
      <c r="Q101" s="7">
        <f t="shared" si="55"/>
        <v>44.96432647960409</v>
      </c>
      <c r="R101">
        <f t="shared" si="56"/>
        <v>-6.6889642021468632E-2</v>
      </c>
      <c r="S101">
        <f t="shared" si="72"/>
        <v>-1.2242905868672962E-2</v>
      </c>
      <c r="T101">
        <f t="shared" si="73"/>
        <v>-4.9461105043138438E-4</v>
      </c>
      <c r="U101" s="75">
        <f t="shared" si="74"/>
        <v>-1.0019921055524073E-3</v>
      </c>
      <c r="V101" s="7">
        <f t="shared" si="75"/>
        <v>37.413185803933395</v>
      </c>
      <c r="W101" s="7">
        <f t="shared" si="67"/>
        <v>38.710845616870813</v>
      </c>
      <c r="X101" s="75">
        <f t="shared" si="76"/>
        <v>-1.0019921055524073E-3</v>
      </c>
      <c r="Y101">
        <f t="shared" si="77"/>
        <v>-8.650204873421892E-3</v>
      </c>
      <c r="Z101">
        <f t="shared" si="78"/>
        <v>-6.6732083310547773E-4</v>
      </c>
      <c r="AA101" s="75">
        <f t="shared" si="68"/>
        <v>-9.0726783863459559E-9</v>
      </c>
      <c r="AB101" s="7">
        <f t="shared" si="79"/>
        <v>37.296829080481459</v>
      </c>
      <c r="AD101" s="7">
        <f t="shared" si="57"/>
        <v>44.333958650454562</v>
      </c>
      <c r="AE101">
        <f t="shared" si="58"/>
        <v>-7.2997842101475641E-2</v>
      </c>
      <c r="AF101">
        <f t="shared" si="80"/>
        <v>-1.1926685794340617E-2</v>
      </c>
      <c r="AG101">
        <f t="shared" si="81"/>
        <v>-5.0877642134756151E-4</v>
      </c>
      <c r="AH101" s="75">
        <f t="shared" si="82"/>
        <v>-1.6549636365923437E-3</v>
      </c>
      <c r="AI101" s="7">
        <f t="shared" si="83"/>
        <v>36.428722011332837</v>
      </c>
      <c r="AJ101" s="7">
        <f t="shared" si="69"/>
        <v>37.096013995120728</v>
      </c>
      <c r="AK101" s="75">
        <f t="shared" si="84"/>
        <v>-1.6549636365923437E-3</v>
      </c>
      <c r="AL101">
        <f t="shared" si="85"/>
        <v>-7.5256844689619018E-3</v>
      </c>
      <c r="AM101">
        <f t="shared" si="86"/>
        <v>-7.2668384682174868E-4</v>
      </c>
      <c r="AN101" s="75">
        <f t="shared" si="70"/>
        <v>-7.2050978738857907E-8</v>
      </c>
      <c r="AO101" s="7">
        <f t="shared" si="87"/>
        <v>36.206427531004358</v>
      </c>
    </row>
    <row r="102" spans="2:41" x14ac:dyDescent="0.25">
      <c r="B102">
        <v>7.12</v>
      </c>
      <c r="C102" s="7">
        <f t="shared" si="59"/>
        <v>43.833333333333336</v>
      </c>
      <c r="D102" s="7">
        <f t="shared" si="53"/>
        <v>45.168333333333337</v>
      </c>
      <c r="E102">
        <f t="shared" si="54"/>
        <v>-6.8393831520189519E-2</v>
      </c>
      <c r="F102">
        <f t="shared" si="51"/>
        <v>-1.2343354170669361E-2</v>
      </c>
      <c r="G102">
        <f t="shared" si="52"/>
        <v>-4.9015322940157836E-4</v>
      </c>
      <c r="H102" s="75">
        <f t="shared" si="71"/>
        <v>-1.0305439833622199E-3</v>
      </c>
      <c r="I102" s="7">
        <f t="shared" si="60"/>
        <v>37.494636085081417</v>
      </c>
      <c r="J102" s="7">
        <f t="shared" si="61"/>
        <v>38.829636085081418</v>
      </c>
      <c r="K102" s="75">
        <f t="shared" si="62"/>
        <v>-1.0305439833622199E-3</v>
      </c>
      <c r="L102">
        <f t="shared" si="63"/>
        <v>-8.729233714897245E-3</v>
      </c>
      <c r="M102">
        <f t="shared" si="64"/>
        <v>-6.6324404507326999E-4</v>
      </c>
      <c r="N102" s="75">
        <f t="shared" si="65"/>
        <v>-9.5178571690723857E-9</v>
      </c>
      <c r="O102" s="7">
        <f t="shared" si="66"/>
        <v>37.376045165762363</v>
      </c>
      <c r="Q102" s="7">
        <f t="shared" si="55"/>
        <v>45.145832833163325</v>
      </c>
      <c r="R102">
        <f t="shared" si="56"/>
        <v>-6.8608219392999548E-2</v>
      </c>
      <c r="S102">
        <f t="shared" si="72"/>
        <v>-1.2332319981192063E-2</v>
      </c>
      <c r="T102">
        <f t="shared" si="73"/>
        <v>-4.9064193192214795E-4</v>
      </c>
      <c r="U102" s="75">
        <f t="shared" si="74"/>
        <v>-1.0484518742281956E-3</v>
      </c>
      <c r="V102" s="7">
        <f t="shared" si="75"/>
        <v>37.462713635977195</v>
      </c>
      <c r="W102" s="7">
        <f t="shared" si="67"/>
        <v>38.775213135807185</v>
      </c>
      <c r="X102" s="75">
        <f t="shared" si="76"/>
        <v>-1.0484518742281956E-3</v>
      </c>
      <c r="Y102">
        <f t="shared" si="77"/>
        <v>-8.6930873557612767E-3</v>
      </c>
      <c r="Z102">
        <f t="shared" si="78"/>
        <v>-6.6510714395307262E-4</v>
      </c>
      <c r="AA102" s="75">
        <f t="shared" si="68"/>
        <v>-1.0195582822447591E-8</v>
      </c>
      <c r="AB102" s="7">
        <f t="shared" si="79"/>
        <v>37.341544438643098</v>
      </c>
      <c r="AD102" s="7">
        <f t="shared" si="57"/>
        <v>44.510941486586255</v>
      </c>
      <c r="AE102">
        <f t="shared" si="58"/>
        <v>-7.4760877837218187E-2</v>
      </c>
      <c r="AF102">
        <f t="shared" si="80"/>
        <v>-1.201637245581021E-2</v>
      </c>
      <c r="AG102">
        <f t="shared" si="81"/>
        <v>-5.0473850730948665E-4</v>
      </c>
      <c r="AH102" s="75">
        <f t="shared" si="82"/>
        <v>-1.7217904102639903E-3</v>
      </c>
      <c r="AI102" s="7">
        <f t="shared" si="83"/>
        <v>36.474403215771403</v>
      </c>
      <c r="AJ102" s="7">
        <f t="shared" si="69"/>
        <v>37.152011369024322</v>
      </c>
      <c r="AK102" s="75">
        <f t="shared" si="84"/>
        <v>-1.7217904102639903E-3</v>
      </c>
      <c r="AL102">
        <f t="shared" si="85"/>
        <v>-7.5663155224364315E-3</v>
      </c>
      <c r="AM102">
        <f t="shared" si="86"/>
        <v>-7.244949090615036E-4</v>
      </c>
      <c r="AN102" s="75">
        <f t="shared" si="70"/>
        <v>-7.9556233156807821E-8</v>
      </c>
      <c r="AO102" s="7">
        <f t="shared" si="87"/>
        <v>36.244308517955218</v>
      </c>
    </row>
    <row r="103" spans="2:41" x14ac:dyDescent="0.25">
      <c r="B103">
        <v>7.2</v>
      </c>
      <c r="C103" s="7">
        <f t="shared" si="59"/>
        <v>44</v>
      </c>
      <c r="D103" s="7">
        <f t="shared" si="53"/>
        <v>45.35</v>
      </c>
      <c r="E103">
        <f t="shared" si="54"/>
        <v>-7.0127032735673112E-2</v>
      </c>
      <c r="F103">
        <f t="shared" si="51"/>
        <v>-1.2432041972398587E-2</v>
      </c>
      <c r="G103">
        <f t="shared" si="52"/>
        <v>-4.8623410470322097E-4</v>
      </c>
      <c r="H103" s="75">
        <f t="shared" si="71"/>
        <v>-1.077586420973331E-3</v>
      </c>
      <c r="I103" s="7">
        <f t="shared" si="60"/>
        <v>37.544121280790989</v>
      </c>
      <c r="J103" s="7">
        <f t="shared" si="61"/>
        <v>38.894121280790991</v>
      </c>
      <c r="K103" s="75">
        <f t="shared" si="62"/>
        <v>-1.077586420973331E-3</v>
      </c>
      <c r="L103">
        <f t="shared" si="63"/>
        <v>-8.7719322266279001E-3</v>
      </c>
      <c r="M103">
        <f t="shared" si="64"/>
        <v>-6.6104659386558267E-4</v>
      </c>
      <c r="N103" s="75">
        <f t="shared" si="65"/>
        <v>-1.067592148018548E-8</v>
      </c>
      <c r="O103" s="7">
        <f t="shared" si="66"/>
        <v>37.420702518889691</v>
      </c>
      <c r="Q103" s="7">
        <f t="shared" si="55"/>
        <v>45.327339186722568</v>
      </c>
      <c r="R103">
        <f t="shared" si="56"/>
        <v>-7.034296087595826E-2</v>
      </c>
      <c r="S103">
        <f t="shared" si="72"/>
        <v>-1.2421018003606989E-2</v>
      </c>
      <c r="T103">
        <f t="shared" si="73"/>
        <v>-4.8672039905543497E-4</v>
      </c>
      <c r="U103" s="75">
        <f t="shared" si="74"/>
        <v>-1.0960903940382405E-3</v>
      </c>
      <c r="V103" s="7">
        <f t="shared" si="75"/>
        <v>37.512060956171823</v>
      </c>
      <c r="W103" s="7">
        <f t="shared" si="67"/>
        <v>38.839400142894391</v>
      </c>
      <c r="X103" s="75">
        <f t="shared" si="76"/>
        <v>-1.0960903940382405E-3</v>
      </c>
      <c r="Y103">
        <f t="shared" si="77"/>
        <v>-8.7357080400707228E-3</v>
      </c>
      <c r="Z103">
        <f t="shared" si="78"/>
        <v>-6.6291061360094963E-4</v>
      </c>
      <c r="AA103" s="75">
        <f t="shared" si="68"/>
        <v>-1.1429104995741568E-8</v>
      </c>
      <c r="AB103" s="7">
        <f t="shared" si="79"/>
        <v>37.385985441419258</v>
      </c>
      <c r="AD103" s="7">
        <f t="shared" si="57"/>
        <v>44.68792432271794</v>
      </c>
      <c r="AE103">
        <f t="shared" si="58"/>
        <v>-7.6539723583986641E-2</v>
      </c>
      <c r="AF103">
        <f t="shared" si="80"/>
        <v>-1.2105348724038192E-2</v>
      </c>
      <c r="AG103">
        <f t="shared" si="81"/>
        <v>-5.0074847368275477E-4</v>
      </c>
      <c r="AH103" s="75">
        <f t="shared" si="82"/>
        <v>-1.7900158564336799E-3</v>
      </c>
      <c r="AI103" s="7">
        <f t="shared" si="83"/>
        <v>36.519969636726302</v>
      </c>
      <c r="AJ103" s="7">
        <f t="shared" si="69"/>
        <v>37.207893959444242</v>
      </c>
      <c r="AK103" s="75">
        <f t="shared" si="84"/>
        <v>-1.7900158564336799E-3</v>
      </c>
      <c r="AL103">
        <f t="shared" si="85"/>
        <v>-7.6067413677385134E-3</v>
      </c>
      <c r="AM103">
        <f t="shared" si="86"/>
        <v>-7.223203033809274E-4</v>
      </c>
      <c r="AN103" s="75">
        <f t="shared" si="70"/>
        <v>-8.7668659665141035E-8</v>
      </c>
      <c r="AO103" s="7">
        <f t="shared" si="87"/>
        <v>36.28196036057831</v>
      </c>
    </row>
    <row r="104" spans="2:41" x14ac:dyDescent="0.25">
      <c r="B104">
        <v>7.28</v>
      </c>
      <c r="C104" s="7">
        <f t="shared" si="59"/>
        <v>44.166666666666664</v>
      </c>
      <c r="D104" s="7">
        <f t="shared" si="53"/>
        <v>45.531666666666666</v>
      </c>
      <c r="E104">
        <f t="shared" si="54"/>
        <v>-7.1876281156018074E-2</v>
      </c>
      <c r="F104">
        <f t="shared" si="51"/>
        <v>-1.2520022063714654E-2</v>
      </c>
      <c r="G104">
        <f t="shared" si="52"/>
        <v>-4.8236179707108611E-4</v>
      </c>
      <c r="H104" s="75">
        <f t="shared" si="71"/>
        <v>-1.1258011283006297E-3</v>
      </c>
      <c r="I104" s="7">
        <f t="shared" si="60"/>
        <v>37.593427611754976</v>
      </c>
      <c r="J104" s="7">
        <f t="shared" si="61"/>
        <v>38.958427611754978</v>
      </c>
      <c r="K104" s="75">
        <f t="shared" si="62"/>
        <v>-1.1258011283006297E-3</v>
      </c>
      <c r="L104">
        <f t="shared" si="63"/>
        <v>-8.8143715398345569E-3</v>
      </c>
      <c r="M104">
        <f t="shared" si="64"/>
        <v>-6.5886609533260892E-4</v>
      </c>
      <c r="N104" s="75">
        <f t="shared" si="65"/>
        <v>-1.1946053257716471E-8</v>
      </c>
      <c r="O104" s="7">
        <f t="shared" si="66"/>
        <v>37.465088662422822</v>
      </c>
      <c r="Q104" s="7">
        <f t="shared" si="55"/>
        <v>45.508845540281804</v>
      </c>
      <c r="R104">
        <f t="shared" si="56"/>
        <v>-7.2093737275104708E-2</v>
      </c>
      <c r="S104">
        <f t="shared" si="72"/>
        <v>-1.2509008504025903E-2</v>
      </c>
      <c r="T104">
        <f t="shared" si="73"/>
        <v>-4.8284569418958025E-4</v>
      </c>
      <c r="U104" s="75">
        <f t="shared" si="74"/>
        <v>-1.1449086612045356E-3</v>
      </c>
      <c r="V104" s="7">
        <f t="shared" si="75"/>
        <v>37.561231538323909</v>
      </c>
      <c r="W104" s="7">
        <f t="shared" si="67"/>
        <v>38.903410411939049</v>
      </c>
      <c r="X104" s="75">
        <f t="shared" si="76"/>
        <v>-1.1449086612045356E-3</v>
      </c>
      <c r="Y104">
        <f t="shared" si="77"/>
        <v>-8.7780713089286658E-3</v>
      </c>
      <c r="Z104">
        <f t="shared" si="78"/>
        <v>-6.6073094979540638E-4</v>
      </c>
      <c r="AA104" s="75">
        <f t="shared" si="68"/>
        <v>-1.2781240954495843E-8</v>
      </c>
      <c r="AB104" s="7">
        <f t="shared" si="79"/>
        <v>37.430156669505308</v>
      </c>
      <c r="AD104" s="7">
        <f t="shared" si="57"/>
        <v>44.864907158849626</v>
      </c>
      <c r="AE104">
        <f t="shared" si="58"/>
        <v>-7.8334254360291844E-2</v>
      </c>
      <c r="AF104">
        <f t="shared" si="80"/>
        <v>-1.2193623006090493E-2</v>
      </c>
      <c r="AG104">
        <f t="shared" si="81"/>
        <v>-4.9680556644599266E-4</v>
      </c>
      <c r="AH104" s="75">
        <f t="shared" si="82"/>
        <v>-1.8596364626484174E-3</v>
      </c>
      <c r="AI104" s="7">
        <f t="shared" si="83"/>
        <v>36.56542352336777</v>
      </c>
      <c r="AJ104" s="7">
        <f t="shared" si="69"/>
        <v>37.263664015550731</v>
      </c>
      <c r="AK104" s="75">
        <f t="shared" si="84"/>
        <v>-1.8596364626484174E-3</v>
      </c>
      <c r="AL104">
        <f t="shared" si="85"/>
        <v>-7.646964921425841E-3</v>
      </c>
      <c r="AM104">
        <f t="shared" si="86"/>
        <v>-7.2015982346944742E-4</v>
      </c>
      <c r="AN104" s="75">
        <f t="shared" si="70"/>
        <v>-9.6422435591492217E-8</v>
      </c>
      <c r="AO104" s="7">
        <f t="shared" si="87"/>
        <v>36.319386884074319</v>
      </c>
    </row>
    <row r="105" spans="2:41" x14ac:dyDescent="0.25">
      <c r="B105">
        <v>7.36</v>
      </c>
      <c r="C105" s="7">
        <f t="shared" si="59"/>
        <v>44.333333333333336</v>
      </c>
      <c r="D105" s="7">
        <f t="shared" si="53"/>
        <v>45.713333333333338</v>
      </c>
      <c r="E105">
        <f t="shared" si="54"/>
        <v>-7.3641448982273428E-2</v>
      </c>
      <c r="F105">
        <f t="shared" si="51"/>
        <v>-1.2607302882028434E-2</v>
      </c>
      <c r="G105">
        <f t="shared" si="52"/>
        <v>-4.7853556377412611E-4</v>
      </c>
      <c r="H105" s="75">
        <f t="shared" si="71"/>
        <v>-1.1751888701860835E-3</v>
      </c>
      <c r="I105" s="7">
        <f t="shared" si="60"/>
        <v>37.642558753760532</v>
      </c>
      <c r="J105" s="7">
        <f t="shared" si="61"/>
        <v>39.022558753760535</v>
      </c>
      <c r="K105" s="75">
        <f t="shared" si="62"/>
        <v>-1.1751888701860835E-3</v>
      </c>
      <c r="L105">
        <f t="shared" si="63"/>
        <v>-8.8565559334137511E-3</v>
      </c>
      <c r="M105">
        <f t="shared" si="64"/>
        <v>-6.5670226416934666E-4</v>
      </c>
      <c r="N105" s="75">
        <f t="shared" si="65"/>
        <v>-1.33361937049159E-8</v>
      </c>
      <c r="O105" s="7">
        <f t="shared" si="66"/>
        <v>37.509208075306347</v>
      </c>
      <c r="Q105" s="7">
        <f t="shared" si="55"/>
        <v>45.690351893841047</v>
      </c>
      <c r="R105">
        <f t="shared" si="56"/>
        <v>-7.3860420937967852E-2</v>
      </c>
      <c r="S105">
        <f t="shared" si="72"/>
        <v>-1.2596299914408655E-2</v>
      </c>
      <c r="T105">
        <f t="shared" si="73"/>
        <v>-4.7901707470174347E-4</v>
      </c>
      <c r="U105" s="75">
        <f t="shared" si="74"/>
        <v>-1.1949073098491692E-3</v>
      </c>
      <c r="V105" s="7">
        <f t="shared" si="75"/>
        <v>37.610229013509212</v>
      </c>
      <c r="W105" s="7">
        <f t="shared" si="67"/>
        <v>38.967247574016923</v>
      </c>
      <c r="X105" s="75">
        <f t="shared" si="76"/>
        <v>-1.1949073098491692E-3</v>
      </c>
      <c r="Y105">
        <f t="shared" si="77"/>
        <v>-8.8201813986127052E-3</v>
      </c>
      <c r="Z105">
        <f t="shared" si="78"/>
        <v>-6.5856786967906269E-4</v>
      </c>
      <c r="AA105" s="75">
        <f t="shared" si="68"/>
        <v>-1.4260332470428239E-8</v>
      </c>
      <c r="AB105" s="7">
        <f t="shared" si="79"/>
        <v>37.474062578014852</v>
      </c>
      <c r="AD105" s="7">
        <f t="shared" si="57"/>
        <v>45.041889994981318</v>
      </c>
      <c r="AE105">
        <f t="shared" si="58"/>
        <v>-8.0144346660818933E-2</v>
      </c>
      <c r="AF105">
        <f t="shared" si="80"/>
        <v>-1.2281203576897697E-2</v>
      </c>
      <c r="AG105">
        <f t="shared" si="81"/>
        <v>-4.929090463625241E-4</v>
      </c>
      <c r="AH105" s="75">
        <f t="shared" si="82"/>
        <v>-1.9306484198575724E-3</v>
      </c>
      <c r="AI105" s="7">
        <f t="shared" si="83"/>
        <v>36.610767020930659</v>
      </c>
      <c r="AJ105" s="7">
        <f t="shared" si="69"/>
        <v>37.319323682578641</v>
      </c>
      <c r="AK105" s="75">
        <f t="shared" si="84"/>
        <v>-1.9306484198575724E-3</v>
      </c>
      <c r="AL105">
        <f t="shared" si="85"/>
        <v>-7.6869889945959564E-3</v>
      </c>
      <c r="AM105">
        <f t="shared" si="86"/>
        <v>-7.1801326985468567E-4</v>
      </c>
      <c r="AN105" s="75">
        <f t="shared" si="70"/>
        <v>-1.0585269238916339E-7</v>
      </c>
      <c r="AO105" s="7">
        <f t="shared" si="87"/>
        <v>36.356591808937573</v>
      </c>
    </row>
    <row r="106" spans="2:41" x14ac:dyDescent="0.25">
      <c r="B106">
        <v>7.44</v>
      </c>
      <c r="C106" s="7">
        <f t="shared" si="59"/>
        <v>44.5</v>
      </c>
      <c r="D106" s="7">
        <f t="shared" si="53"/>
        <v>45.895000000000003</v>
      </c>
      <c r="E106">
        <f t="shared" si="54"/>
        <v>-7.542240993610938E-2</v>
      </c>
      <c r="F106">
        <f t="shared" si="51"/>
        <v>-1.2693892731159208E-2</v>
      </c>
      <c r="G106">
        <f t="shared" si="52"/>
        <v>-4.7475467675194347E-4</v>
      </c>
      <c r="H106" s="75">
        <f t="shared" si="71"/>
        <v>-1.2257500617971484E-3</v>
      </c>
      <c r="I106" s="7">
        <f t="shared" si="60"/>
        <v>37.691518245110146</v>
      </c>
      <c r="J106" s="7">
        <f t="shared" si="61"/>
        <v>39.086518245110149</v>
      </c>
      <c r="K106" s="75">
        <f t="shared" si="62"/>
        <v>-1.2257500617971484E-3</v>
      </c>
      <c r="L106">
        <f t="shared" si="63"/>
        <v>-8.898489545377395E-3</v>
      </c>
      <c r="M106">
        <f t="shared" si="64"/>
        <v>-6.5455482411797927E-4</v>
      </c>
      <c r="N106" s="75">
        <f t="shared" si="65"/>
        <v>-1.4854622865101419E-8</v>
      </c>
      <c r="O106" s="7">
        <f t="shared" si="66"/>
        <v>37.553065115021084</v>
      </c>
      <c r="Q106" s="7">
        <f t="shared" si="55"/>
        <v>45.87185824740029</v>
      </c>
      <c r="R106">
        <f t="shared" si="56"/>
        <v>-7.5642885730377252E-2</v>
      </c>
      <c r="S106">
        <f t="shared" si="72"/>
        <v>-1.2682900533260346E-2</v>
      </c>
      <c r="T106">
        <f t="shared" si="73"/>
        <v>-4.7523381263205706E-4</v>
      </c>
      <c r="U106" s="75">
        <f t="shared" si="74"/>
        <v>-1.2460866256376324E-3</v>
      </c>
      <c r="V106" s="7">
        <f t="shared" si="75"/>
        <v>37.659056876351663</v>
      </c>
      <c r="W106" s="7">
        <f t="shared" si="67"/>
        <v>39.030915123751953</v>
      </c>
      <c r="X106" s="75">
        <f t="shared" si="76"/>
        <v>-1.2460866256376324E-3</v>
      </c>
      <c r="Y106">
        <f t="shared" si="77"/>
        <v>-8.8620424056230496E-3</v>
      </c>
      <c r="Z106">
        <f t="shared" si="78"/>
        <v>-6.5642109937297678E-4</v>
      </c>
      <c r="AA106" s="75">
        <f t="shared" si="68"/>
        <v>-1.5875069481197102E-8</v>
      </c>
      <c r="AB106" s="7">
        <f t="shared" si="79"/>
        <v>37.517707501247422</v>
      </c>
      <c r="AD106" s="7">
        <f t="shared" si="57"/>
        <v>45.218872831113003</v>
      </c>
      <c r="AE106">
        <f t="shared" si="58"/>
        <v>-8.1969878433272969E-2</v>
      </c>
      <c r="AF106">
        <f t="shared" si="80"/>
        <v>-1.2368098581840865E-2</v>
      </c>
      <c r="AG106">
        <f t="shared" si="81"/>
        <v>-4.8905818863385561E-4</v>
      </c>
      <c r="AH106" s="75">
        <f t="shared" si="82"/>
        <v>-2.0030476371293293E-3</v>
      </c>
      <c r="AI106" s="7">
        <f t="shared" si="83"/>
        <v>36.656002176035948</v>
      </c>
      <c r="AJ106" s="7">
        <f t="shared" si="69"/>
        <v>37.374875007148951</v>
      </c>
      <c r="AK106" s="75">
        <f t="shared" si="84"/>
        <v>-2.0030476371293293E-3</v>
      </c>
      <c r="AL106">
        <f t="shared" si="85"/>
        <v>-7.7268162982411376E-3</v>
      </c>
      <c r="AM106">
        <f t="shared" si="86"/>
        <v>-7.1588044956219174E-4</v>
      </c>
      <c r="AN106" s="75">
        <f t="shared" si="70"/>
        <v>-1.1599550031604622E-7</v>
      </c>
      <c r="AO106" s="7">
        <f t="shared" si="87"/>
        <v>36.393578754929912</v>
      </c>
    </row>
    <row r="107" spans="2:41" x14ac:dyDescent="0.25">
      <c r="B107">
        <v>7.5200000000000005</v>
      </c>
      <c r="C107" s="7">
        <f t="shared" si="59"/>
        <v>44.666666666666671</v>
      </c>
      <c r="D107" s="7">
        <f t="shared" si="53"/>
        <v>46.076666666666668</v>
      </c>
      <c r="E107">
        <f t="shared" si="54"/>
        <v>-7.7219039235789211E-2</v>
      </c>
      <c r="F107">
        <f t="shared" si="51"/>
        <v>-1.2779799783968249E-2</v>
      </c>
      <c r="G107">
        <f t="shared" si="52"/>
        <v>-4.710184222684237E-4</v>
      </c>
      <c r="H107" s="75">
        <f t="shared" si="71"/>
        <v>-1.2774847818470825E-3</v>
      </c>
      <c r="I107" s="7">
        <f t="shared" si="60"/>
        <v>37.74030949261924</v>
      </c>
      <c r="J107" s="7">
        <f t="shared" si="61"/>
        <v>39.150309492619243</v>
      </c>
      <c r="K107" s="75">
        <f t="shared" si="62"/>
        <v>-1.2774847818470825E-3</v>
      </c>
      <c r="L107">
        <f t="shared" si="63"/>
        <v>-8.940176379072292E-3</v>
      </c>
      <c r="M107">
        <f t="shared" si="64"/>
        <v>-6.5242350756978672E-4</v>
      </c>
      <c r="N107" s="75">
        <f t="shared" si="65"/>
        <v>-1.6509955846899516E-8</v>
      </c>
      <c r="O107" s="7">
        <f t="shared" si="66"/>
        <v>37.596664022145923</v>
      </c>
      <c r="Q107" s="7">
        <f t="shared" si="55"/>
        <v>46.053364600959533</v>
      </c>
      <c r="R107">
        <f t="shared" si="56"/>
        <v>-7.7441007012484686E-2</v>
      </c>
      <c r="S107">
        <f t="shared" si="72"/>
        <v>-1.2768818528261214E-2</v>
      </c>
      <c r="T107">
        <f t="shared" si="73"/>
        <v>-4.7149519433757132E-4</v>
      </c>
      <c r="U107" s="75">
        <f t="shared" si="74"/>
        <v>-1.2984465590584193E-3</v>
      </c>
      <c r="V107" s="7">
        <f t="shared" si="75"/>
        <v>37.707718490997337</v>
      </c>
      <c r="W107" s="7">
        <f t="shared" si="67"/>
        <v>39.094416425290198</v>
      </c>
      <c r="X107" s="75">
        <f t="shared" si="76"/>
        <v>-1.2984465590584193E-3</v>
      </c>
      <c r="Y107">
        <f t="shared" si="77"/>
        <v>-8.9036582928714997E-3</v>
      </c>
      <c r="Z107">
        <f t="shared" si="78"/>
        <v>-6.542903735805869E-4</v>
      </c>
      <c r="AA107" s="75">
        <f t="shared" si="68"/>
        <v>-1.7634491200624325E-8</v>
      </c>
      <c r="AB107" s="7">
        <f t="shared" si="79"/>
        <v>37.561095657226126</v>
      </c>
      <c r="AD107" s="7">
        <f t="shared" si="57"/>
        <v>45.395855667244696</v>
      </c>
      <c r="AE107">
        <f t="shared" si="58"/>
        <v>-8.381072905567355E-2</v>
      </c>
      <c r="AF107">
        <f t="shared" si="80"/>
        <v>-1.2454316039276912E-2</v>
      </c>
      <c r="AG107">
        <f t="shared" si="81"/>
        <v>-4.8525228256259803E-4</v>
      </c>
      <c r="AH107" s="75">
        <f t="shared" si="82"/>
        <v>-2.0768297558215743E-3</v>
      </c>
      <c r="AI107" s="7">
        <f t="shared" si="83"/>
        <v>36.701130941726532</v>
      </c>
      <c r="AJ107" s="7">
        <f t="shared" si="69"/>
        <v>37.430319942304557</v>
      </c>
      <c r="AK107" s="75">
        <f t="shared" si="84"/>
        <v>-2.0768297558215743E-3</v>
      </c>
      <c r="AL107">
        <f t="shared" si="85"/>
        <v>-7.7664494483018869E-3</v>
      </c>
      <c r="AM107">
        <f t="shared" si="86"/>
        <v>-7.1376117579461079E-4</v>
      </c>
      <c r="AN107" s="75">
        <f t="shared" si="70"/>
        <v>-1.2688784956083055E-7</v>
      </c>
      <c r="AO107" s="7">
        <f t="shared" si="87"/>
        <v>36.430351244862457</v>
      </c>
    </row>
    <row r="108" spans="2:41" x14ac:dyDescent="0.25">
      <c r="B108">
        <v>7.6000000000000005</v>
      </c>
      <c r="C108" s="7">
        <f t="shared" si="59"/>
        <v>44.833333333333336</v>
      </c>
      <c r="D108" s="7">
        <f t="shared" si="53"/>
        <v>46.258333333333333</v>
      </c>
      <c r="E108">
        <f t="shared" si="54"/>
        <v>-7.9031213572611891E-2</v>
      </c>
      <c r="F108">
        <f t="shared" ref="F108:F122" si="88">1/D108-1/$C$7</f>
        <v>-1.2865032084930332E-2</v>
      </c>
      <c r="G108">
        <f t="shared" ref="G108:G122" si="89">-(D108^(-2))</f>
        <v>-4.6732610057487276E-4</v>
      </c>
      <c r="H108" s="75">
        <f t="shared" si="71"/>
        <v>-1.3303927854657616E-3</v>
      </c>
      <c r="I108" s="7">
        <f t="shared" si="60"/>
        <v>37.788935777325378</v>
      </c>
      <c r="J108" s="7">
        <f t="shared" si="61"/>
        <v>39.213935777325375</v>
      </c>
      <c r="K108" s="75">
        <f t="shared" si="62"/>
        <v>-1.3303927854657616E-3</v>
      </c>
      <c r="L108">
        <f t="shared" si="63"/>
        <v>-8.9816203090838931E-3</v>
      </c>
      <c r="M108">
        <f t="shared" si="64"/>
        <v>-6.5030805518764725E-4</v>
      </c>
      <c r="N108" s="75">
        <f t="shared" si="65"/>
        <v>-1.8311145044691557E-8</v>
      </c>
      <c r="O108" s="7">
        <f t="shared" si="66"/>
        <v>37.640008924701874</v>
      </c>
      <c r="Q108" s="7">
        <f t="shared" si="55"/>
        <v>46.234870954518769</v>
      </c>
      <c r="R108">
        <f t="shared" si="56"/>
        <v>-7.9254661615246746E-2</v>
      </c>
      <c r="S108">
        <f t="shared" si="72"/>
        <v>-1.2854061938834531E-2</v>
      </c>
      <c r="T108">
        <f t="shared" si="73"/>
        <v>-4.6780052015569091E-4</v>
      </c>
      <c r="U108" s="75">
        <f t="shared" si="74"/>
        <v>-1.3519867383564588E-3</v>
      </c>
      <c r="V108" s="7">
        <f t="shared" si="75"/>
        <v>37.756217096801478</v>
      </c>
      <c r="W108" s="7">
        <f t="shared" si="67"/>
        <v>39.157754717986911</v>
      </c>
      <c r="X108" s="75">
        <f t="shared" si="76"/>
        <v>-1.3519867383564588E-3</v>
      </c>
      <c r="Y108">
        <f t="shared" si="77"/>
        <v>-8.9450328955562076E-3</v>
      </c>
      <c r="Z108">
        <f t="shared" si="78"/>
        <v>-6.5217543521214265E-4</v>
      </c>
      <c r="AA108" s="75">
        <f t="shared" si="68"/>
        <v>-1.9547985896650744E-8</v>
      </c>
      <c r="AB108" s="7">
        <f t="shared" si="79"/>
        <v>37.604231152018556</v>
      </c>
      <c r="AD108" s="7">
        <f t="shared" si="57"/>
        <v>45.572838503376381</v>
      </c>
      <c r="AE108">
        <f t="shared" si="58"/>
        <v>-8.5666779314093944E-2</v>
      </c>
      <c r="AF108">
        <f t="shared" si="80"/>
        <v>-1.2539863843005081E-2</v>
      </c>
      <c r="AG108">
        <f t="shared" si="81"/>
        <v>-4.8149063122453683E-4</v>
      </c>
      <c r="AH108" s="75">
        <f t="shared" si="82"/>
        <v>-2.1519901632174321E-3</v>
      </c>
      <c r="AI108" s="7">
        <f t="shared" si="83"/>
        <v>36.746155182232798</v>
      </c>
      <c r="AJ108" s="7">
        <f t="shared" si="69"/>
        <v>37.485660352275843</v>
      </c>
      <c r="AK108" s="75">
        <f t="shared" si="84"/>
        <v>-2.1519901632174321E-3</v>
      </c>
      <c r="AL108">
        <f t="shared" si="85"/>
        <v>-7.8058909704366262E-3</v>
      </c>
      <c r="AM108">
        <f t="shared" si="86"/>
        <v>-7.1165526762911662E-4</v>
      </c>
      <c r="AN108" s="75">
        <f t="shared" si="70"/>
        <v>-1.3856763114716841E-7</v>
      </c>
      <c r="AO108" s="7">
        <f t="shared" si="87"/>
        <v>36.466912708196446</v>
      </c>
    </row>
    <row r="109" spans="2:41" x14ac:dyDescent="0.25">
      <c r="B109">
        <v>7.68</v>
      </c>
      <c r="C109" s="7">
        <f t="shared" si="59"/>
        <v>45</v>
      </c>
      <c r="D109" s="7">
        <f t="shared" si="53"/>
        <v>46.44</v>
      </c>
      <c r="E109">
        <f t="shared" si="54"/>
        <v>-8.0858811087817672E-2</v>
      </c>
      <c r="F109">
        <f t="shared" si="88"/>
        <v>-1.2949597552644864E-2</v>
      </c>
      <c r="G109">
        <f t="shared" si="89"/>
        <v>-4.6367702558235987E-4</v>
      </c>
      <c r="H109" s="75">
        <f t="shared" si="71"/>
        <v>-1.3844735167225508E-3</v>
      </c>
      <c r="I109" s="7">
        <f t="shared" si="60"/>
        <v>37.837400259924344</v>
      </c>
      <c r="J109" s="7">
        <f t="shared" si="61"/>
        <v>39.277400259924342</v>
      </c>
      <c r="K109" s="75">
        <f t="shared" si="62"/>
        <v>-1.3844735167225508E-3</v>
      </c>
      <c r="L109">
        <f t="shared" si="63"/>
        <v>-9.0228250868421116E-3</v>
      </c>
      <c r="M109">
        <f t="shared" si="64"/>
        <v>-6.482082155479347E-4</v>
      </c>
      <c r="N109" s="75">
        <f t="shared" si="65"/>
        <v>-2.0267480582703001E-8</v>
      </c>
      <c r="O109" s="7">
        <f t="shared" si="66"/>
        <v>37.683103842290933</v>
      </c>
      <c r="Q109" s="7">
        <f t="shared" si="55"/>
        <v>46.416377308078012</v>
      </c>
      <c r="R109">
        <f t="shared" si="56"/>
        <v>-8.1083727817379048E-2</v>
      </c>
      <c r="S109">
        <f t="shared" si="72"/>
        <v>-1.2938638678654319E-2</v>
      </c>
      <c r="T109">
        <f t="shared" si="73"/>
        <v>-4.641491040768047E-4</v>
      </c>
      <c r="U109" s="75">
        <f t="shared" si="74"/>
        <v>-1.4067064821050579E-3</v>
      </c>
      <c r="V109" s="7">
        <f t="shared" si="75"/>
        <v>37.804555813741715</v>
      </c>
      <c r="W109" s="7">
        <f t="shared" si="67"/>
        <v>39.220933121819726</v>
      </c>
      <c r="X109" s="75">
        <f t="shared" si="76"/>
        <v>-1.4067064821050579E-3</v>
      </c>
      <c r="Y109">
        <f t="shared" si="77"/>
        <v>-8.9861699267385804E-3</v>
      </c>
      <c r="Z109">
        <f t="shared" si="78"/>
        <v>-6.500760350285137E-4</v>
      </c>
      <c r="AA109" s="75">
        <f t="shared" si="68"/>
        <v>-2.1625292223603765E-8</v>
      </c>
      <c r="AB109" s="7">
        <f t="shared" si="79"/>
        <v>37.64711798385337</v>
      </c>
      <c r="AD109" s="7">
        <f t="shared" si="57"/>
        <v>45.749821339508067</v>
      </c>
      <c r="AE109">
        <f t="shared" si="58"/>
        <v>-8.7537911380830113E-2</v>
      </c>
      <c r="AF109">
        <f t="shared" si="80"/>
        <v>-1.2624749764676216E-2</v>
      </c>
      <c r="AG109">
        <f t="shared" si="81"/>
        <v>-4.7777255114956198E-4</v>
      </c>
      <c r="AH109" s="75">
        <f t="shared" si="82"/>
        <v>-2.2285240056436617E-3</v>
      </c>
      <c r="AI109" s="7">
        <f t="shared" si="83"/>
        <v>36.791076677483893</v>
      </c>
      <c r="AJ109" s="7">
        <f t="shared" si="69"/>
        <v>37.54089801699196</v>
      </c>
      <c r="AK109" s="75">
        <f t="shared" si="84"/>
        <v>-2.2285240056436617E-3</v>
      </c>
      <c r="AL109">
        <f t="shared" si="85"/>
        <v>-7.8451433045250082E-3</v>
      </c>
      <c r="AM109">
        <f t="shared" si="86"/>
        <v>-7.0956254973196932E-4</v>
      </c>
      <c r="AN109" s="75">
        <f t="shared" si="70"/>
        <v>-1.5107361583943657E-7</v>
      </c>
      <c r="AO109" s="7">
        <f t="shared" si="87"/>
        <v>36.50326648447377</v>
      </c>
    </row>
    <row r="110" spans="2:41" x14ac:dyDescent="0.25">
      <c r="B110">
        <v>7.76</v>
      </c>
      <c r="C110" s="7">
        <f t="shared" si="59"/>
        <v>45.166666666666671</v>
      </c>
      <c r="D110" s="7">
        <f t="shared" si="53"/>
        <v>46.62166666666667</v>
      </c>
      <c r="E110">
        <f t="shared" si="54"/>
        <v>-8.2701711349946416E-2</v>
      </c>
      <c r="F110">
        <f t="shared" si="88"/>
        <v>-1.3033503982288339E-2</v>
      </c>
      <c r="G110">
        <f t="shared" si="89"/>
        <v>-4.6007052454298026E-4</v>
      </c>
      <c r="H110" s="75">
        <f t="shared" si="71"/>
        <v>-1.439726120804341E-3</v>
      </c>
      <c r="I110" s="7">
        <f t="shared" si="60"/>
        <v>37.885705985947226</v>
      </c>
      <c r="J110" s="7">
        <f t="shared" si="61"/>
        <v>39.340705985947224</v>
      </c>
      <c r="K110" s="75">
        <f t="shared" si="62"/>
        <v>-1.439726120804341E-3</v>
      </c>
      <c r="L110">
        <f t="shared" si="63"/>
        <v>-9.0637943459456541E-3</v>
      </c>
      <c r="M110">
        <f t="shared" si="64"/>
        <v>-6.4612374480071185E-4</v>
      </c>
      <c r="N110" s="75">
        <f t="shared" si="65"/>
        <v>-2.2388589870914188E-8</v>
      </c>
      <c r="O110" s="7">
        <f t="shared" si="66"/>
        <v>37.725952690041048</v>
      </c>
      <c r="Q110" s="7">
        <f t="shared" si="55"/>
        <v>46.597883661637255</v>
      </c>
      <c r="R110">
        <f t="shared" si="56"/>
        <v>-8.2928085322751866E-2</v>
      </c>
      <c r="S110">
        <f t="shared" si="72"/>
        <v>-1.3022556538094383E-2</v>
      </c>
      <c r="T110">
        <f t="shared" si="73"/>
        <v>-4.6054027342582642E-4</v>
      </c>
      <c r="U110" s="75">
        <f t="shared" si="74"/>
        <v>-1.462604811436119E-3</v>
      </c>
      <c r="V110" s="7">
        <f t="shared" si="75"/>
        <v>37.852737647573854</v>
      </c>
      <c r="W110" s="7">
        <f t="shared" si="67"/>
        <v>39.283954642544437</v>
      </c>
      <c r="X110" s="75">
        <f t="shared" si="76"/>
        <v>-1.462604811436119E-3</v>
      </c>
      <c r="Y110">
        <f t="shared" si="77"/>
        <v>-9.0270729826403169E-3</v>
      </c>
      <c r="Z110">
        <f t="shared" si="78"/>
        <v>-6.4799193130319135E-4</v>
      </c>
      <c r="AA110" s="75">
        <f t="shared" si="68"/>
        <v>-2.3876497001751318E-8</v>
      </c>
      <c r="AB110" s="7">
        <f t="shared" si="79"/>
        <v>37.689760047044075</v>
      </c>
      <c r="AD110" s="7">
        <f t="shared" si="57"/>
        <v>45.926804175639759</v>
      </c>
      <c r="AE110">
        <f t="shared" si="58"/>
        <v>-8.9424008792991838E-2</v>
      </c>
      <c r="AF110">
        <f t="shared" si="80"/>
        <v>-1.2708981456146285E-2</v>
      </c>
      <c r="AG110">
        <f t="shared" si="81"/>
        <v>-4.7409737201119023E-4</v>
      </c>
      <c r="AH110" s="75">
        <f t="shared" si="82"/>
        <v>-2.3064262010836778E-3</v>
      </c>
      <c r="AI110" s="7">
        <f t="shared" si="83"/>
        <v>36.835897127378715</v>
      </c>
      <c r="AJ110" s="7">
        <f t="shared" si="69"/>
        <v>37.596034636351803</v>
      </c>
      <c r="AK110" s="75">
        <f t="shared" si="84"/>
        <v>-2.3064262010836778E-3</v>
      </c>
      <c r="AL110">
        <f t="shared" si="85"/>
        <v>-7.8842088089205488E-3</v>
      </c>
      <c r="AM110">
        <f t="shared" si="86"/>
        <v>-7.074828520891623E-4</v>
      </c>
      <c r="AN110" s="75">
        <f t="shared" si="70"/>
        <v>-1.6444543438076664E-7</v>
      </c>
      <c r="AO110" s="7">
        <f t="shared" si="87"/>
        <v>36.539415826587138</v>
      </c>
    </row>
    <row r="111" spans="2:41" x14ac:dyDescent="0.25">
      <c r="B111">
        <v>7.84</v>
      </c>
      <c r="C111" s="7">
        <f t="shared" si="59"/>
        <v>45.333333333333336</v>
      </c>
      <c r="D111" s="7">
        <f t="shared" si="53"/>
        <v>46.803333333333335</v>
      </c>
      <c r="E111">
        <f t="shared" si="54"/>
        <v>-8.4559795332630694E-2</v>
      </c>
      <c r="F111">
        <f t="shared" si="88"/>
        <v>-1.3116759048009647E-2</v>
      </c>
      <c r="G111">
        <f t="shared" si="89"/>
        <v>-4.5650593773976226E-4</v>
      </c>
      <c r="H111" s="75">
        <f t="shared" si="71"/>
        <v>-1.496149455854523E-3</v>
      </c>
      <c r="I111" s="7">
        <f t="shared" si="60"/>
        <v>37.933855890692982</v>
      </c>
      <c r="J111" s="7">
        <f t="shared" si="61"/>
        <v>39.403855890692981</v>
      </c>
      <c r="K111" s="75">
        <f t="shared" si="62"/>
        <v>-1.496149455854523E-3</v>
      </c>
      <c r="L111">
        <f t="shared" si="63"/>
        <v>-9.1045316072212688E-3</v>
      </c>
      <c r="M111">
        <f t="shared" si="64"/>
        <v>-6.4405440634713652E-4</v>
      </c>
      <c r="N111" s="75">
        <f t="shared" si="65"/>
        <v>-2.4684436938926524E-8</v>
      </c>
      <c r="O111" s="7">
        <f t="shared" si="66"/>
        <v>37.768559282368692</v>
      </c>
      <c r="Q111" s="7">
        <f t="shared" si="55"/>
        <v>46.779390015196491</v>
      </c>
      <c r="R111">
        <f t="shared" si="56"/>
        <v>-8.4787615238229641E-2</v>
      </c>
      <c r="S111">
        <f t="shared" si="72"/>
        <v>-1.3105823186620385E-2</v>
      </c>
      <c r="T111">
        <f t="shared" si="73"/>
        <v>-4.5697336855236626E-4</v>
      </c>
      <c r="U111" s="75">
        <f t="shared" si="74"/>
        <v>-1.5196804619159732E-3</v>
      </c>
      <c r="V111" s="7">
        <f t="shared" si="75"/>
        <v>37.900765494742437</v>
      </c>
      <c r="W111" s="7">
        <f t="shared" si="67"/>
        <v>39.346822176605592</v>
      </c>
      <c r="X111" s="75">
        <f t="shared" si="76"/>
        <v>-1.5196804619159732E-3</v>
      </c>
      <c r="Y111">
        <f t="shared" si="77"/>
        <v>-9.0677455476753585E-3</v>
      </c>
      <c r="Z111">
        <f t="shared" si="78"/>
        <v>-6.459228895014876E-4</v>
      </c>
      <c r="AA111" s="75">
        <f t="shared" si="68"/>
        <v>-2.6312035217301855E-8</v>
      </c>
      <c r="AB111" s="7">
        <f t="shared" si="79"/>
        <v>37.732161135731538</v>
      </c>
      <c r="AD111" s="7">
        <f t="shared" si="57"/>
        <v>46.103787011771445</v>
      </c>
      <c r="AE111">
        <f t="shared" si="58"/>
        <v>-9.1324956431504845E-2</v>
      </c>
      <c r="AF111">
        <f t="shared" si="80"/>
        <v>-1.279256645177574E-2</v>
      </c>
      <c r="AG111">
        <f t="shared" si="81"/>
        <v>-4.7046443632441445E-4</v>
      </c>
      <c r="AH111" s="75">
        <f t="shared" si="82"/>
        <v>-2.3856914513085137E-3</v>
      </c>
      <c r="AI111" s="7">
        <f t="shared" si="83"/>
        <v>36.88061815583039</v>
      </c>
      <c r="AJ111" s="7">
        <f t="shared" si="69"/>
        <v>37.6510718342685</v>
      </c>
      <c r="AK111" s="75">
        <f t="shared" si="84"/>
        <v>-2.3856914513085137E-3</v>
      </c>
      <c r="AL111">
        <f t="shared" si="85"/>
        <v>-7.923089764467612E-3</v>
      </c>
      <c r="AM111">
        <f t="shared" si="86"/>
        <v>-7.0541600975217102E-4</v>
      </c>
      <c r="AN111" s="75">
        <f t="shared" si="70"/>
        <v>-1.7872355284609398E-7</v>
      </c>
      <c r="AO111" s="7">
        <f t="shared" si="87"/>
        <v>36.57536390389815</v>
      </c>
    </row>
    <row r="112" spans="2:41" x14ac:dyDescent="0.25">
      <c r="B112">
        <v>7.92</v>
      </c>
      <c r="C112" s="7">
        <f t="shared" si="59"/>
        <v>45.5</v>
      </c>
      <c r="D112" s="7">
        <f t="shared" si="53"/>
        <v>46.984999999999999</v>
      </c>
      <c r="E112">
        <f t="shared" si="54"/>
        <v>-8.6432945392824978E-2</v>
      </c>
      <c r="F112">
        <f t="shared" si="88"/>
        <v>-1.3199370305269839E-2</v>
      </c>
      <c r="G112">
        <f t="shared" si="89"/>
        <v>-4.529826181849487E-4</v>
      </c>
      <c r="H112" s="75">
        <f t="shared" si="71"/>
        <v>-1.5537421044717892E-3</v>
      </c>
      <c r="I112" s="7">
        <f t="shared" si="60"/>
        <v>37.981852803928106</v>
      </c>
      <c r="J112" s="7">
        <f t="shared" si="61"/>
        <v>39.466852803928106</v>
      </c>
      <c r="K112" s="75">
        <f t="shared" si="62"/>
        <v>-1.5537421044717892E-3</v>
      </c>
      <c r="L112">
        <f t="shared" si="63"/>
        <v>-9.1450402835317746E-3</v>
      </c>
      <c r="M112">
        <f t="shared" si="64"/>
        <v>-6.4199997053314656E-4</v>
      </c>
      <c r="N112" s="75">
        <f t="shared" si="65"/>
        <v>-2.7165321103694851E-8</v>
      </c>
      <c r="O112" s="7">
        <f t="shared" si="66"/>
        <v>37.810927336568824</v>
      </c>
      <c r="Q112" s="7">
        <f t="shared" si="55"/>
        <v>46.960896368755733</v>
      </c>
      <c r="R112">
        <f t="shared" si="56"/>
        <v>-8.6662200051936589E-2</v>
      </c>
      <c r="S112">
        <f t="shared" si="72"/>
        <v>-1.318844617512643E-2</v>
      </c>
      <c r="T112">
        <f t="shared" si="73"/>
        <v>-4.5344774252926881E-4</v>
      </c>
      <c r="U112" s="75">
        <f t="shared" si="74"/>
        <v>-1.5779318950841503E-3</v>
      </c>
      <c r="V112" s="7">
        <f t="shared" si="75"/>
        <v>37.948642147059815</v>
      </c>
      <c r="W112" s="7">
        <f t="shared" si="67"/>
        <v>39.409538515815548</v>
      </c>
      <c r="X112" s="75">
        <f t="shared" si="76"/>
        <v>-1.5779318950841503E-3</v>
      </c>
      <c r="Y112">
        <f t="shared" si="77"/>
        <v>-9.1081909992320395E-3</v>
      </c>
      <c r="Z112">
        <f t="shared" si="78"/>
        <v>-6.4386868197592519E-4</v>
      </c>
      <c r="AA112" s="75">
        <f t="shared" si="68"/>
        <v>-2.894268824604751E-8</v>
      </c>
      <c r="AB112" s="7">
        <f t="shared" si="79"/>
        <v>37.774324947454694</v>
      </c>
      <c r="AD112" s="7">
        <f t="shared" si="57"/>
        <v>46.28076984790313</v>
      </c>
      <c r="AE112">
        <f t="shared" si="58"/>
        <v>-9.3240640500516392E-2</v>
      </c>
      <c r="AF112">
        <f t="shared" si="80"/>
        <v>-1.2875512170676083E-2</v>
      </c>
      <c r="AG112">
        <f t="shared" si="81"/>
        <v>-4.66873099151624E-4</v>
      </c>
      <c r="AH112" s="75">
        <f t="shared" si="82"/>
        <v>-2.4663142535308324E-3</v>
      </c>
      <c r="AI112" s="7">
        <f t="shared" si="83"/>
        <v>36.925241314596761</v>
      </c>
      <c r="AJ112" s="7">
        <f t="shared" si="69"/>
        <v>37.706011162499891</v>
      </c>
      <c r="AK112" s="75">
        <f t="shared" si="84"/>
        <v>-2.4663142535308324E-3</v>
      </c>
      <c r="AL112">
        <f t="shared" si="85"/>
        <v>-7.9617883782965998E-3</v>
      </c>
      <c r="AM112">
        <f t="shared" si="86"/>
        <v>-7.0336186259789806E-4</v>
      </c>
      <c r="AN112" s="75">
        <f t="shared" si="70"/>
        <v>-1.939492517699648E-7</v>
      </c>
      <c r="AO112" s="7">
        <f t="shared" si="87"/>
        <v>36.611113805212895</v>
      </c>
    </row>
    <row r="113" spans="2:41" x14ac:dyDescent="0.25">
      <c r="B113">
        <v>8</v>
      </c>
      <c r="C113" s="7">
        <f t="shared" si="59"/>
        <v>45.666666666666671</v>
      </c>
      <c r="D113" s="7">
        <f t="shared" si="53"/>
        <v>47.166666666666671</v>
      </c>
      <c r="E113">
        <f t="shared" si="54"/>
        <v>-8.8321045249452501E-2</v>
      </c>
      <c r="F113">
        <f t="shared" si="88"/>
        <v>-1.3281345193127819E-2</v>
      </c>
      <c r="G113">
        <f t="shared" si="89"/>
        <v>-4.4949993132639932E-4</v>
      </c>
      <c r="H113" s="75">
        <f t="shared" si="71"/>
        <v>-1.6125023848758691E-3</v>
      </c>
      <c r="I113" s="7">
        <f t="shared" si="60"/>
        <v>38.029699454366167</v>
      </c>
      <c r="J113" s="7">
        <f t="shared" si="61"/>
        <v>39.529699454366167</v>
      </c>
      <c r="K113" s="75">
        <f t="shared" si="62"/>
        <v>-1.6125023848758691E-3</v>
      </c>
      <c r="L113">
        <f t="shared" si="63"/>
        <v>-9.1853236843471991E-3</v>
      </c>
      <c r="M113">
        <f t="shared" si="64"/>
        <v>-6.3996021435847982E-4</v>
      </c>
      <c r="N113" s="75">
        <f t="shared" si="65"/>
        <v>-2.9841874527036794E-8</v>
      </c>
      <c r="O113" s="7">
        <f t="shared" si="66"/>
        <v>37.853060476241964</v>
      </c>
      <c r="Q113" s="7">
        <f t="shared" si="55"/>
        <v>47.142402722314976</v>
      </c>
      <c r="R113">
        <f t="shared" si="56"/>
        <v>-8.8551723611946853E-2</v>
      </c>
      <c r="S113">
        <f t="shared" si="72"/>
        <v>-1.3270432938217652E-2</v>
      </c>
      <c r="T113">
        <f t="shared" si="73"/>
        <v>-4.4996276085926127E-4</v>
      </c>
      <c r="U113" s="75">
        <f t="shared" si="74"/>
        <v>-1.6373573096477578E-3</v>
      </c>
      <c r="V113" s="7">
        <f t="shared" si="75"/>
        <v>37.996370296164578</v>
      </c>
      <c r="W113" s="7">
        <f t="shared" si="67"/>
        <v>39.472106351812883</v>
      </c>
      <c r="X113" s="75">
        <f t="shared" si="76"/>
        <v>-1.6373573096477578E-3</v>
      </c>
      <c r="Y113">
        <f t="shared" si="77"/>
        <v>-9.1484126122184893E-3</v>
      </c>
      <c r="Z113">
        <f t="shared" si="78"/>
        <v>-6.4182908767693875E-4</v>
      </c>
      <c r="AA113" s="75">
        <f t="shared" si="68"/>
        <v>-3.1779582521096472E-8</v>
      </c>
      <c r="AB113" s="7">
        <f t="shared" si="79"/>
        <v>37.816255086559295</v>
      </c>
      <c r="AD113" s="7">
        <f t="shared" si="57"/>
        <v>46.457752684034823</v>
      </c>
      <c r="AE113">
        <f t="shared" si="58"/>
        <v>-9.5170948507192765E-2</v>
      </c>
      <c r="AF113">
        <f t="shared" si="80"/>
        <v>-1.2957825918905107E-2</v>
      </c>
      <c r="AG113">
        <f t="shared" si="81"/>
        <v>-4.6332272781635385E-4</v>
      </c>
      <c r="AH113" s="75">
        <f t="shared" si="82"/>
        <v>-2.548288911605745E-3</v>
      </c>
      <c r="AI113" s="7">
        <f t="shared" si="83"/>
        <v>36.969768086908914</v>
      </c>
      <c r="AJ113" s="7">
        <f t="shared" si="69"/>
        <v>37.760854104277065</v>
      </c>
      <c r="AK113" s="75">
        <f t="shared" si="84"/>
        <v>-2.548288911605745E-3</v>
      </c>
      <c r="AL113">
        <f t="shared" si="85"/>
        <v>-8.0003067874104689E-3</v>
      </c>
      <c r="AM113">
        <f t="shared" si="86"/>
        <v>-7.0132025510195211E-4</v>
      </c>
      <c r="AN113" s="75">
        <f t="shared" si="70"/>
        <v>-2.1016460038936202E-7</v>
      </c>
      <c r="AO113" s="7">
        <f t="shared" si="87"/>
        <v>36.646668541622084</v>
      </c>
    </row>
    <row r="114" spans="2:41" x14ac:dyDescent="0.25">
      <c r="B114">
        <v>8.08</v>
      </c>
      <c r="C114" s="7">
        <f t="shared" si="59"/>
        <v>45.833333333333329</v>
      </c>
      <c r="D114" s="7">
        <f t="shared" si="53"/>
        <v>47.348333333333329</v>
      </c>
      <c r="E114">
        <f t="shared" si="54"/>
        <v>-9.022397996246001E-2</v>
      </c>
      <c r="F114">
        <f t="shared" si="88"/>
        <v>-1.3362691036473383E-2</v>
      </c>
      <c r="G114">
        <f t="shared" si="89"/>
        <v>-4.4605725476186289E-4</v>
      </c>
      <c r="H114" s="75">
        <f t="shared" si="71"/>
        <v>-1.6724283617466362E-3</v>
      </c>
      <c r="I114" s="7">
        <f t="shared" si="60"/>
        <v>38.077398473938601</v>
      </c>
      <c r="J114" s="7">
        <f t="shared" si="61"/>
        <v>39.592398473938601</v>
      </c>
      <c r="K114" s="75">
        <f t="shared" si="62"/>
        <v>-1.6724283617466362E-3</v>
      </c>
      <c r="L114">
        <f t="shared" si="63"/>
        <v>-9.2253850200919932E-3</v>
      </c>
      <c r="M114">
        <f t="shared" si="64"/>
        <v>-6.3793492120016774E-4</v>
      </c>
      <c r="N114" s="75">
        <f t="shared" si="65"/>
        <v>-3.2725061327454341E-8</v>
      </c>
      <c r="O114" s="7">
        <f t="shared" si="66"/>
        <v>37.894962234567458</v>
      </c>
      <c r="Q114" s="7">
        <f t="shared" si="55"/>
        <v>47.323909075874205</v>
      </c>
      <c r="R114">
        <f t="shared" si="56"/>
        <v>-9.0456071105376123E-2</v>
      </c>
      <c r="S114">
        <f t="shared" si="72"/>
        <v>-1.3351790796440298E-2</v>
      </c>
      <c r="T114">
        <f t="shared" si="73"/>
        <v>-4.4651780118946162E-4</v>
      </c>
      <c r="U114" s="75">
        <f t="shared" si="74"/>
        <v>-1.697954652350564E-3</v>
      </c>
      <c r="V114" s="7">
        <f t="shared" si="75"/>
        <v>38.043952537772377</v>
      </c>
      <c r="W114" s="7">
        <f t="shared" si="67"/>
        <v>39.534528280313253</v>
      </c>
      <c r="X114" s="75">
        <f t="shared" si="76"/>
        <v>-1.697954652350564E-3</v>
      </c>
      <c r="Y114">
        <f t="shared" si="77"/>
        <v>-9.1884135633853205E-3</v>
      </c>
      <c r="Z114">
        <f t="shared" si="78"/>
        <v>-6.398038918779763E-4</v>
      </c>
      <c r="AA114" s="75">
        <f t="shared" si="68"/>
        <v>-3.483418531402549E-8</v>
      </c>
      <c r="AB114" s="7">
        <f t="shared" si="79"/>
        <v>37.857955067453496</v>
      </c>
      <c r="AD114" s="7">
        <f t="shared" si="57"/>
        <v>46.634735520166501</v>
      </c>
      <c r="AE114">
        <f t="shared" si="58"/>
        <v>-9.7115769241900907E-2</v>
      </c>
      <c r="AF114">
        <f t="shared" si="80"/>
        <v>-1.3039514891612113E-2</v>
      </c>
      <c r="AG114">
        <f t="shared" si="81"/>
        <v>-4.5981270162462329E-4</v>
      </c>
      <c r="AH114" s="75">
        <f t="shared" si="82"/>
        <v>-2.6316095467873168E-3</v>
      </c>
      <c r="AI114" s="7">
        <f t="shared" si="83"/>
        <v>37.014199890908948</v>
      </c>
      <c r="AJ114" s="7">
        <f t="shared" si="69"/>
        <v>37.81560207774212</v>
      </c>
      <c r="AK114" s="75">
        <f t="shared" si="84"/>
        <v>-2.6316095467873168E-3</v>
      </c>
      <c r="AL114">
        <f t="shared" si="85"/>
        <v>-8.03864706207481E-3</v>
      </c>
      <c r="AM114">
        <f t="shared" si="86"/>
        <v>-6.9929103612446735E-4</v>
      </c>
      <c r="AN114" s="75">
        <f t="shared" si="70"/>
        <v>-2.2741243266288791E-7</v>
      </c>
      <c r="AO114" s="7">
        <f t="shared" si="87"/>
        <v>36.682031049213684</v>
      </c>
    </row>
    <row r="115" spans="2:41" x14ac:dyDescent="0.25">
      <c r="B115">
        <v>8.16</v>
      </c>
      <c r="C115" s="7">
        <f t="shared" si="59"/>
        <v>46</v>
      </c>
      <c r="D115" s="7">
        <f t="shared" si="53"/>
        <v>47.53</v>
      </c>
      <c r="E115">
        <f t="shared" si="54"/>
        <v>-9.2141635912280195E-2</v>
      </c>
      <c r="F115">
        <f t="shared" si="88"/>
        <v>-1.3443415048209117E-2</v>
      </c>
      <c r="G115">
        <f t="shared" si="89"/>
        <v>-4.4265397796087818E-4</v>
      </c>
      <c r="H115" s="75">
        <f t="shared" si="71"/>
        <v>-1.733517856734812E-3</v>
      </c>
      <c r="I115" s="7">
        <f t="shared" si="60"/>
        <v>38.124952401866707</v>
      </c>
      <c r="J115" s="7">
        <f t="shared" si="61"/>
        <v>39.654952401866709</v>
      </c>
      <c r="K115" s="75">
        <f t="shared" si="62"/>
        <v>-1.733517856734812E-3</v>
      </c>
      <c r="L115">
        <f t="shared" si="63"/>
        <v>-9.265227406280073E-3</v>
      </c>
      <c r="M115">
        <f t="shared" si="64"/>
        <v>-6.3592388054972172E-4</v>
      </c>
      <c r="N115" s="75">
        <f t="shared" si="65"/>
        <v>-3.5826174027420166E-8</v>
      </c>
      <c r="O115" s="7">
        <f t="shared" si="66"/>
        <v>37.936636057431024</v>
      </c>
      <c r="Q115" s="7">
        <f t="shared" si="55"/>
        <v>47.505415429433455</v>
      </c>
      <c r="R115">
        <f t="shared" si="56"/>
        <v>-9.2375129037880255E-2</v>
      </c>
      <c r="S115">
        <f t="shared" si="72"/>
        <v>-1.34325269584607E-2</v>
      </c>
      <c r="T115">
        <f t="shared" si="73"/>
        <v>-4.4311225303350637E-4</v>
      </c>
      <c r="U115" s="75">
        <f t="shared" si="74"/>
        <v>-1.7597216285061279E-3</v>
      </c>
      <c r="V115" s="7">
        <f t="shared" si="75"/>
        <v>38.091391375728115</v>
      </c>
      <c r="W115" s="7">
        <f t="shared" si="67"/>
        <v>39.59680680516157</v>
      </c>
      <c r="X115" s="75">
        <f t="shared" si="76"/>
        <v>-1.7597216285061279E-3</v>
      </c>
      <c r="Y115">
        <f t="shared" si="77"/>
        <v>-9.2281969354366215E-3</v>
      </c>
      <c r="Z115">
        <f t="shared" si="78"/>
        <v>-6.3779288591425058E-4</v>
      </c>
      <c r="AA115" s="75">
        <f t="shared" si="68"/>
        <v>-3.8118304068746056E-8</v>
      </c>
      <c r="AB115" s="7">
        <f t="shared" si="79"/>
        <v>37.899428317718929</v>
      </c>
      <c r="AD115" s="7">
        <f t="shared" si="57"/>
        <v>46.811718356298194</v>
      </c>
      <c r="AE115">
        <f t="shared" si="58"/>
        <v>-9.9074992758767744E-2</v>
      </c>
      <c r="AF115">
        <f t="shared" si="80"/>
        <v>-1.3120586175134535E-2</v>
      </c>
      <c r="AG115">
        <f t="shared" si="81"/>
        <v>-4.5634241159363433E-4</v>
      </c>
      <c r="AH115" s="75">
        <f t="shared" si="82"/>
        <v>-2.7162701080607476E-3</v>
      </c>
      <c r="AI115" s="7">
        <f t="shared" si="83"/>
        <v>37.058538082907518</v>
      </c>
      <c r="AJ115" s="7">
        <f t="shared" si="69"/>
        <v>37.870256439205711</v>
      </c>
      <c r="AK115" s="75">
        <f t="shared" si="84"/>
        <v>-2.7162701080607476E-3</v>
      </c>
      <c r="AL115">
        <f t="shared" si="85"/>
        <v>-8.0768112090229063E-3</v>
      </c>
      <c r="AM115">
        <f t="shared" si="86"/>
        <v>-6.9727405870770981E-4</v>
      </c>
      <c r="AN115" s="75">
        <f t="shared" si="70"/>
        <v>-2.4573632084745611E-7</v>
      </c>
      <c r="AO115" s="7">
        <f t="shared" si="87"/>
        <v>36.717204191664536</v>
      </c>
    </row>
    <row r="116" spans="2:41" x14ac:dyDescent="0.25">
      <c r="B116">
        <v>8.24</v>
      </c>
      <c r="C116" s="7">
        <f t="shared" si="59"/>
        <v>46.166666666666671</v>
      </c>
      <c r="D116" s="7">
        <f t="shared" si="53"/>
        <v>47.711666666666673</v>
      </c>
      <c r="E116">
        <f t="shared" si="54"/>
        <v>-9.40739007796767E-2</v>
      </c>
      <c r="F116">
        <f t="shared" si="88"/>
        <v>-1.3523524331382361E-2</v>
      </c>
      <c r="G116">
        <f t="shared" si="89"/>
        <v>-4.3928950199407471E-4</v>
      </c>
      <c r="H116" s="75">
        <f t="shared" si="71"/>
        <v>-1.7957684586598077E-3</v>
      </c>
      <c r="I116" s="7">
        <f t="shared" si="60"/>
        <v>38.17236368854612</v>
      </c>
      <c r="J116" s="7">
        <f t="shared" si="61"/>
        <v>39.717363688546122</v>
      </c>
      <c r="K116" s="75">
        <f t="shared" si="62"/>
        <v>-1.7957684586598077E-3</v>
      </c>
      <c r="L116">
        <f t="shared" si="63"/>
        <v>-9.304853867449836E-3</v>
      </c>
      <c r="M116">
        <f t="shared" si="64"/>
        <v>-6.3392688776321628E-4</v>
      </c>
      <c r="N116" s="75">
        <f t="shared" si="65"/>
        <v>-3.9156830888842364E-8</v>
      </c>
      <c r="O116" s="7">
        <f t="shared" si="66"/>
        <v>37.978085306414698</v>
      </c>
      <c r="Q116" s="7">
        <f t="shared" si="55"/>
        <v>47.686921782992698</v>
      </c>
      <c r="R116">
        <f t="shared" si="56"/>
        <v>-9.4308785213542246E-2</v>
      </c>
      <c r="S116">
        <f t="shared" si="72"/>
        <v>-1.3512648523194434E-2</v>
      </c>
      <c r="T116">
        <f t="shared" si="73"/>
        <v>-4.3974551750107103E-4</v>
      </c>
      <c r="U116" s="75">
        <f t="shared" si="74"/>
        <v>-1.8226557122145159E-3</v>
      </c>
      <c r="V116" s="7">
        <f t="shared" si="75"/>
        <v>38.138689225870486</v>
      </c>
      <c r="W116" s="7">
        <f t="shared" si="67"/>
        <v>39.658944342196513</v>
      </c>
      <c r="X116" s="75">
        <f t="shared" si="76"/>
        <v>-1.8226557122145159E-3</v>
      </c>
      <c r="Y116">
        <f t="shared" si="77"/>
        <v>-9.2677657209413074E-3</v>
      </c>
      <c r="Z116">
        <f t="shared" si="78"/>
        <v>-6.3579586693435968E-4</v>
      </c>
      <c r="AA116" s="75">
        <f t="shared" si="68"/>
        <v>-4.1644080628344682E-8</v>
      </c>
      <c r="AB116" s="7">
        <f t="shared" si="79"/>
        <v>37.940678181084174</v>
      </c>
      <c r="AD116" s="7">
        <f t="shared" si="57"/>
        <v>46.988701192429886</v>
      </c>
      <c r="AE116">
        <f t="shared" si="58"/>
        <v>-0.10104851035660034</v>
      </c>
      <c r="AF116">
        <f t="shared" si="80"/>
        <v>-1.3201046749047096E-2</v>
      </c>
      <c r="AG116">
        <f t="shared" si="81"/>
        <v>-4.5291126018761181E-4</v>
      </c>
      <c r="AH116" s="75">
        <f t="shared" si="82"/>
        <v>-2.8022643820595494E-3</v>
      </c>
      <c r="AI116" s="7">
        <f t="shared" si="83"/>
        <v>37.102783960471427</v>
      </c>
      <c r="AJ116" s="7">
        <f t="shared" si="69"/>
        <v>37.924818486234642</v>
      </c>
      <c r="AK116" s="75">
        <f t="shared" si="84"/>
        <v>-2.8022643820595494E-3</v>
      </c>
      <c r="AL116">
        <f t="shared" si="85"/>
        <v>-8.1148011744868638E-3</v>
      </c>
      <c r="AM116">
        <f t="shared" si="86"/>
        <v>-6.9526917988476126E-4</v>
      </c>
      <c r="AN116" s="75">
        <f t="shared" si="70"/>
        <v>-2.6518055062929591E-7</v>
      </c>
      <c r="AO116" s="7">
        <f t="shared" si="87"/>
        <v>36.752190762718229</v>
      </c>
    </row>
    <row r="117" spans="2:41" x14ac:dyDescent="0.25">
      <c r="B117">
        <v>8.32</v>
      </c>
      <c r="C117" s="7">
        <f t="shared" si="59"/>
        <v>46.333333333333336</v>
      </c>
      <c r="D117" s="7">
        <f t="shared" si="53"/>
        <v>47.893333333333338</v>
      </c>
      <c r="E117">
        <f t="shared" si="54"/>
        <v>-9.6020663525981487E-2</v>
      </c>
      <c r="F117">
        <f t="shared" si="88"/>
        <v>-1.3603025881268722E-2</v>
      </c>
      <c r="G117">
        <f t="shared" si="89"/>
        <v>-4.359632392696464E-4</v>
      </c>
      <c r="H117" s="75">
        <f t="shared" si="71"/>
        <v>-1.8591775333913763E-3</v>
      </c>
      <c r="I117" s="7">
        <f t="shared" si="60"/>
        <v>38.219634699251841</v>
      </c>
      <c r="J117" s="7">
        <f t="shared" si="61"/>
        <v>39.779634699251844</v>
      </c>
      <c r="K117" s="75">
        <f t="shared" si="62"/>
        <v>-1.8591775333913763E-3</v>
      </c>
      <c r="L117">
        <f t="shared" si="63"/>
        <v>-9.3442673409090612E-3</v>
      </c>
      <c r="M117">
        <f t="shared" si="64"/>
        <v>-6.3194374382360497E-4</v>
      </c>
      <c r="N117" s="75">
        <f t="shared" si="65"/>
        <v>-4.2728971250127756E-8</v>
      </c>
      <c r="O117" s="7">
        <f t="shared" si="66"/>
        <v>38.019313261656052</v>
      </c>
      <c r="Q117" s="7">
        <f t="shared" si="55"/>
        <v>47.868428136551934</v>
      </c>
      <c r="R117">
        <f t="shared" si="56"/>
        <v>-9.6256928715140022E-2</v>
      </c>
      <c r="S117">
        <f t="shared" si="72"/>
        <v>-1.3592162481887087E-2</v>
      </c>
      <c r="T117">
        <f t="shared" si="73"/>
        <v>-4.3641700703455277E-4</v>
      </c>
      <c r="U117" s="75">
        <f t="shared" si="74"/>
        <v>-1.8867541562597179E-3</v>
      </c>
      <c r="V117" s="7">
        <f t="shared" si="75"/>
        <v>38.185848419718468</v>
      </c>
      <c r="W117" s="7">
        <f t="shared" si="67"/>
        <v>39.720943222937066</v>
      </c>
      <c r="X117" s="75">
        <f t="shared" si="76"/>
        <v>-1.8867541562597179E-3</v>
      </c>
      <c r="Y117">
        <f t="shared" si="77"/>
        <v>-9.3071228260556346E-3</v>
      </c>
      <c r="Z117">
        <f t="shared" si="78"/>
        <v>-6.3381263766405771E-4</v>
      </c>
      <c r="AA117" s="75">
        <f t="shared" si="68"/>
        <v>-4.542398923668145E-8</v>
      </c>
      <c r="AB117" s="7">
        <f t="shared" si="79"/>
        <v>37.981707920269209</v>
      </c>
      <c r="AD117" s="7">
        <f t="shared" si="57"/>
        <v>47.165684028561571</v>
      </c>
      <c r="AE117">
        <f t="shared" si="58"/>
        <v>-0.10303621456017353</v>
      </c>
      <c r="AF117">
        <f t="shared" si="80"/>
        <v>-1.328090348816488E-2</v>
      </c>
      <c r="AG117">
        <f t="shared" si="81"/>
        <v>-4.4951866106056722E-4</v>
      </c>
      <c r="AH117" s="75">
        <f t="shared" si="82"/>
        <v>-2.8895860025834885E-3</v>
      </c>
      <c r="AI117" s="7">
        <f t="shared" si="83"/>
        <v>37.146938765349724</v>
      </c>
      <c r="AJ117" s="7">
        <f t="shared" si="69"/>
        <v>37.979289460577959</v>
      </c>
      <c r="AK117" s="75">
        <f t="shared" si="84"/>
        <v>-2.8895860025834885E-3</v>
      </c>
      <c r="AL117">
        <f t="shared" si="85"/>
        <v>-8.1526188470641414E-3</v>
      </c>
      <c r="AM117">
        <f t="shared" si="86"/>
        <v>-6.9327626049865611E-4</v>
      </c>
      <c r="AN117" s="75">
        <f t="shared" si="70"/>
        <v>-2.8579009425655499E-7</v>
      </c>
      <c r="AO117" s="7">
        <f t="shared" si="87"/>
        <v>36.786993488554266</v>
      </c>
    </row>
    <row r="118" spans="2:41" x14ac:dyDescent="0.25">
      <c r="B118">
        <v>8.4</v>
      </c>
      <c r="C118" s="7">
        <f t="shared" si="59"/>
        <v>46.5</v>
      </c>
      <c r="D118" s="7">
        <f t="shared" si="53"/>
        <v>48.075000000000003</v>
      </c>
      <c r="E118">
        <f t="shared" si="54"/>
        <v>-9.7981814373699461E-2</v>
      </c>
      <c r="F118">
        <f t="shared" si="88"/>
        <v>-1.3681926587408324E-2</v>
      </c>
      <c r="G118">
        <f t="shared" si="89"/>
        <v>-4.3267461327678274E-4</v>
      </c>
      <c r="H118" s="75">
        <f t="shared" si="71"/>
        <v>-1.9237422334239529E-3</v>
      </c>
      <c r="I118" s="7">
        <f t="shared" si="60"/>
        <v>38.266767717674192</v>
      </c>
      <c r="J118" s="7">
        <f t="shared" si="61"/>
        <v>39.841767717674195</v>
      </c>
      <c r="K118" s="75">
        <f t="shared" si="62"/>
        <v>-1.9237422334239529E-3</v>
      </c>
      <c r="L118">
        <f t="shared" si="63"/>
        <v>-9.3834706803006471E-3</v>
      </c>
      <c r="M118">
        <f t="shared" si="64"/>
        <v>-6.2997425511455713E-4</v>
      </c>
      <c r="N118" s="75">
        <f t="shared" si="65"/>
        <v>-4.6554854415958857E-8</v>
      </c>
      <c r="O118" s="7">
        <f t="shared" si="66"/>
        <v>38.060323124584514</v>
      </c>
      <c r="Q118" s="7">
        <f t="shared" si="55"/>
        <v>48.049934490111177</v>
      </c>
      <c r="R118">
        <f t="shared" si="56"/>
        <v>-9.8219449884790366E-2</v>
      </c>
      <c r="S118">
        <f t="shared" si="72"/>
        <v>-1.3671075720147863E-2</v>
      </c>
      <c r="T118">
        <f t="shared" si="73"/>
        <v>-4.3312614515270354E-4</v>
      </c>
      <c r="U118" s="75">
        <f t="shared" si="74"/>
        <v>-1.9520140016981991E-3</v>
      </c>
      <c r="V118" s="7">
        <f t="shared" si="75"/>
        <v>38.232871207988183</v>
      </c>
      <c r="W118" s="7">
        <f t="shared" si="67"/>
        <v>39.782805698099359</v>
      </c>
      <c r="X118" s="75">
        <f t="shared" si="76"/>
        <v>-1.9520140016981991E-3</v>
      </c>
      <c r="Y118">
        <f t="shared" si="77"/>
        <v>-9.3462710740665825E-3</v>
      </c>
      <c r="Z118">
        <f t="shared" si="78"/>
        <v>-6.3184300618153682E-4</v>
      </c>
      <c r="AA118" s="75">
        <f t="shared" si="68"/>
        <v>-4.9470832097497919E-8</v>
      </c>
      <c r="AB118" s="7">
        <f t="shared" si="79"/>
        <v>38.022520719706534</v>
      </c>
      <c r="AD118" s="7">
        <f t="shared" si="57"/>
        <v>47.342666864693257</v>
      </c>
      <c r="AE118">
        <f t="shared" si="58"/>
        <v>-0.10503799910185907</v>
      </c>
      <c r="AF118">
        <f t="shared" si="80"/>
        <v>-1.3360163164501487E-2</v>
      </c>
      <c r="AG118">
        <f t="shared" si="81"/>
        <v>-4.461640388057811E-4</v>
      </c>
      <c r="AH118" s="75">
        <f t="shared" si="82"/>
        <v>-2.9782284597359432E-3</v>
      </c>
      <c r="AI118" s="7">
        <f t="shared" si="83"/>
        <v>37.191003686248536</v>
      </c>
      <c r="AJ118" s="7">
        <f t="shared" si="69"/>
        <v>38.033670550941792</v>
      </c>
      <c r="AK118" s="75">
        <f t="shared" si="84"/>
        <v>-2.9782284597359432E-3</v>
      </c>
      <c r="AL118">
        <f t="shared" si="85"/>
        <v>-8.1902660604301E-3</v>
      </c>
      <c r="AM118">
        <f t="shared" si="86"/>
        <v>-6.9129516503130403E-4</v>
      </c>
      <c r="AN118" s="75">
        <f t="shared" si="70"/>
        <v>-3.0761058145145626E-7</v>
      </c>
      <c r="AO118" s="7">
        <f t="shared" si="87"/>
        <v>36.821615030055156</v>
      </c>
    </row>
    <row r="119" spans="2:41" x14ac:dyDescent="0.25">
      <c r="B119">
        <v>8.48</v>
      </c>
      <c r="C119" s="7">
        <f t="shared" si="59"/>
        <v>46.666666666666671</v>
      </c>
      <c r="D119" s="7">
        <f t="shared" si="53"/>
        <v>48.256666666666675</v>
      </c>
      <c r="E119">
        <f t="shared" si="54"/>
        <v>-9.9957244787482136E-2</v>
      </c>
      <c r="F119">
        <f t="shared" si="88"/>
        <v>-1.376023323559606E-2</v>
      </c>
      <c r="G119">
        <f t="shared" si="89"/>
        <v>-4.2942305833584842E-4</v>
      </c>
      <c r="H119" s="75">
        <f t="shared" si="71"/>
        <v>-1.9894595071550114E-3</v>
      </c>
      <c r="I119" s="7">
        <f t="shared" si="60"/>
        <v>38.313764949293216</v>
      </c>
      <c r="J119" s="7">
        <f t="shared" si="61"/>
        <v>39.903764949293219</v>
      </c>
      <c r="K119" s="75">
        <f t="shared" si="62"/>
        <v>-1.9894595071550114E-3</v>
      </c>
      <c r="L119">
        <f t="shared" si="63"/>
        <v>-9.4224666589981521E-3</v>
      </c>
      <c r="M119">
        <f t="shared" si="64"/>
        <v>-6.2801823320521972E-4</v>
      </c>
      <c r="N119" s="75">
        <f t="shared" si="65"/>
        <v>-5.0647052773911128E-8</v>
      </c>
      <c r="O119" s="7">
        <f t="shared" si="66"/>
        <v>38.101118020539857</v>
      </c>
      <c r="Q119" s="7">
        <f t="shared" si="55"/>
        <v>48.23144084367042</v>
      </c>
      <c r="R119">
        <f t="shared" si="56"/>
        <v>-0.10019624030495566</v>
      </c>
      <c r="S119">
        <f t="shared" si="72"/>
        <v>-1.3749395019937233E-2</v>
      </c>
      <c r="T119">
        <f t="shared" si="73"/>
        <v>-4.2987236620100548E-4</v>
      </c>
      <c r="U119" s="75">
        <f t="shared" si="74"/>
        <v>-2.0184320871439176E-3</v>
      </c>
      <c r="V119" s="7">
        <f t="shared" si="75"/>
        <v>38.279759763949038</v>
      </c>
      <c r="W119" s="7">
        <f t="shared" si="67"/>
        <v>39.844533940952786</v>
      </c>
      <c r="X119" s="75">
        <f t="shared" si="76"/>
        <v>-2.0184320871439176E-3</v>
      </c>
      <c r="Y119">
        <f t="shared" si="77"/>
        <v>-9.3852132087658968E-3</v>
      </c>
      <c r="Z119">
        <f t="shared" si="78"/>
        <v>-6.2988678570357519E-4</v>
      </c>
      <c r="AA119" s="75">
        <f t="shared" si="68"/>
        <v>-5.3797733823301996E-8</v>
      </c>
      <c r="AB119" s="7">
        <f t="shared" si="79"/>
        <v>38.063119688145981</v>
      </c>
      <c r="AD119" s="7">
        <f t="shared" si="57"/>
        <v>47.519649700824949</v>
      </c>
      <c r="AE119">
        <f t="shared" si="58"/>
        <v>-0.10705375890360447</v>
      </c>
      <c r="AF119">
        <f t="shared" si="80"/>
        <v>-1.343883244918339E-2</v>
      </c>
      <c r="AG119">
        <f t="shared" si="81"/>
        <v>-4.4284682871180631E-4</v>
      </c>
      <c r="AH119" s="75">
        <f t="shared" si="82"/>
        <v>-3.0681851086840073E-3</v>
      </c>
      <c r="AI119" s="7">
        <f t="shared" si="83"/>
        <v>37.23497986146144</v>
      </c>
      <c r="AJ119" s="7">
        <f t="shared" si="69"/>
        <v>38.087962895619718</v>
      </c>
      <c r="AK119" s="75">
        <f t="shared" si="84"/>
        <v>-3.0681851086840073E-3</v>
      </c>
      <c r="AL119">
        <f t="shared" si="85"/>
        <v>-8.2277445959042968E-3</v>
      </c>
      <c r="AM119">
        <f t="shared" si="86"/>
        <v>-6.8932576144167573E-4</v>
      </c>
      <c r="AN119" s="75">
        <f t="shared" si="70"/>
        <v>-3.3068827498539122E-7</v>
      </c>
      <c r="AO119" s="7">
        <f t="shared" si="87"/>
        <v>36.856057984976339</v>
      </c>
    </row>
    <row r="120" spans="2:41" x14ac:dyDescent="0.25">
      <c r="B120">
        <v>8.56</v>
      </c>
      <c r="C120" s="7">
        <f t="shared" si="59"/>
        <v>46.833333333333336</v>
      </c>
      <c r="D120" s="7">
        <f t="shared" si="53"/>
        <v>48.438333333333333</v>
      </c>
      <c r="E120">
        <f t="shared" si="54"/>
        <v>-0.10194684745545768</v>
      </c>
      <c r="F120">
        <f t="shared" si="88"/>
        <v>-1.3837952509827046E-2</v>
      </c>
      <c r="G120">
        <f t="shared" si="89"/>
        <v>-4.2620801935511009E-4</v>
      </c>
      <c r="H120" s="75">
        <f t="shared" si="71"/>
        <v>-2.0563261078645478E-3</v>
      </c>
      <c r="I120" s="7">
        <f t="shared" si="60"/>
        <v>38.360628524599903</v>
      </c>
      <c r="J120" s="7">
        <f t="shared" si="61"/>
        <v>39.9656285245999</v>
      </c>
      <c r="K120" s="75">
        <f t="shared" si="62"/>
        <v>-2.0563261078645478E-3</v>
      </c>
      <c r="L120">
        <f t="shared" si="63"/>
        <v>-9.4612579733403049E-3</v>
      </c>
      <c r="M120">
        <f t="shared" si="64"/>
        <v>-6.2607549464530391E-4</v>
      </c>
      <c r="N120" s="75">
        <f t="shared" si="65"/>
        <v>-5.5018446909471663E-8</v>
      </c>
      <c r="O120" s="7">
        <f t="shared" si="66"/>
        <v>38.141701001280225</v>
      </c>
      <c r="Q120" s="7">
        <f t="shared" si="55"/>
        <v>48.412947197229656</v>
      </c>
      <c r="R120">
        <f t="shared" si="56"/>
        <v>-0.10218719277980837</v>
      </c>
      <c r="S120">
        <f t="shared" si="72"/>
        <v>-1.3827127061509899E-2</v>
      </c>
      <c r="T120">
        <f t="shared" si="73"/>
        <v>-4.2665511510858273E-4</v>
      </c>
      <c r="U120" s="75">
        <f t="shared" si="74"/>
        <v>-2.0860050577553579E-3</v>
      </c>
      <c r="V120" s="7">
        <f t="shared" si="75"/>
        <v>38.326516186626975</v>
      </c>
      <c r="W120" s="7">
        <f t="shared" si="67"/>
        <v>39.906130050523295</v>
      </c>
      <c r="X120" s="75">
        <f t="shared" si="76"/>
        <v>-2.0860050577553579E-3</v>
      </c>
      <c r="Y120">
        <f t="shared" si="77"/>
        <v>-9.4239518976637314E-3</v>
      </c>
      <c r="Z120">
        <f t="shared" si="78"/>
        <v>-6.2794379438196933E-4</v>
      </c>
      <c r="AA120" s="75">
        <f t="shared" si="68"/>
        <v>-5.8418137216520449E-8</v>
      </c>
      <c r="AB120" s="7">
        <f t="shared" si="79"/>
        <v>38.103507861149168</v>
      </c>
      <c r="AD120" s="7">
        <f t="shared" si="57"/>
        <v>47.696632536956635</v>
      </c>
      <c r="AE120">
        <f t="shared" si="58"/>
        <v>-0.1090833900592425</v>
      </c>
      <c r="AF120">
        <f t="shared" si="80"/>
        <v>-1.3516917914321695E-2</v>
      </c>
      <c r="AG120">
        <f t="shared" si="81"/>
        <v>-4.3956647652479582E-4</v>
      </c>
      <c r="AH120" s="75">
        <f t="shared" si="82"/>
        <v>-3.1594491780642109E-3</v>
      </c>
      <c r="AI120" s="7">
        <f t="shared" si="83"/>
        <v>37.278868381364276</v>
      </c>
      <c r="AJ120" s="7">
        <f t="shared" si="69"/>
        <v>38.142167584987575</v>
      </c>
      <c r="AK120" s="75">
        <f t="shared" si="84"/>
        <v>-3.1594491780642109E-3</v>
      </c>
      <c r="AL120">
        <f t="shared" si="85"/>
        <v>-8.2650561848797051E-3</v>
      </c>
      <c r="AM120">
        <f t="shared" si="86"/>
        <v>-6.8736792101267491E-4</v>
      </c>
      <c r="AN120" s="75">
        <f t="shared" si="70"/>
        <v>-3.5507004070289838E-7</v>
      </c>
      <c r="AO120" s="7">
        <f t="shared" si="87"/>
        <v>36.890324890024097</v>
      </c>
    </row>
    <row r="121" spans="2:41" x14ac:dyDescent="0.25">
      <c r="B121">
        <v>8.64</v>
      </c>
      <c r="C121" s="7">
        <f t="shared" si="59"/>
        <v>47</v>
      </c>
      <c r="D121" s="7">
        <f t="shared" si="53"/>
        <v>48.62</v>
      </c>
      <c r="E121">
        <f t="shared" si="54"/>
        <v>-0.10395051627091068</v>
      </c>
      <c r="F121">
        <f t="shared" si="88"/>
        <v>-1.3915090994198499E-2</v>
      </c>
      <c r="G121">
        <f t="shared" si="89"/>
        <v>-4.2302895159381236E-4</v>
      </c>
      <c r="H121" s="75">
        <f t="shared" si="71"/>
        <v>-2.1243386024087929E-3</v>
      </c>
      <c r="I121" s="7">
        <f t="shared" si="60"/>
        <v>38.407360502171919</v>
      </c>
      <c r="J121" s="7">
        <f t="shared" si="61"/>
        <v>40.027360502171916</v>
      </c>
      <c r="K121" s="75">
        <f t="shared" si="62"/>
        <v>-2.1243386024087929E-3</v>
      </c>
      <c r="L121">
        <f t="shared" si="63"/>
        <v>-9.4998472457130494E-3</v>
      </c>
      <c r="M121">
        <f t="shared" si="64"/>
        <v>-6.2414586076993536E-4</v>
      </c>
      <c r="N121" s="75">
        <f t="shared" si="65"/>
        <v>-5.9682223829682357E-8</v>
      </c>
      <c r="O121" s="7">
        <f t="shared" si="66"/>
        <v>38.182075047384764</v>
      </c>
      <c r="Q121" s="7">
        <f t="shared" si="55"/>
        <v>48.594453550788899</v>
      </c>
      <c r="R121">
        <f t="shared" si="56"/>
        <v>-0.10419220131694185</v>
      </c>
      <c r="S121">
        <f t="shared" si="72"/>
        <v>-1.3904278425314238E-2</v>
      </c>
      <c r="T121">
        <f t="shared" si="73"/>
        <v>-4.2347384715145831E-4</v>
      </c>
      <c r="U121" s="75">
        <f t="shared" si="74"/>
        <v>-2.15472937393546E-3</v>
      </c>
      <c r="V121" s="7">
        <f t="shared" si="75"/>
        <v>38.373142503862773</v>
      </c>
      <c r="W121" s="7">
        <f t="shared" si="67"/>
        <v>39.967596054651672</v>
      </c>
      <c r="X121" s="75">
        <f t="shared" si="76"/>
        <v>-2.15472937393546E-3</v>
      </c>
      <c r="Y121">
        <f t="shared" si="77"/>
        <v>-9.4624897350503862E-3</v>
      </c>
      <c r="Z121">
        <f t="shared" si="78"/>
        <v>-6.2601385510968849E-4</v>
      </c>
      <c r="AA121" s="75">
        <f t="shared" si="68"/>
        <v>-6.3345797940428383E-8</v>
      </c>
      <c r="AB121" s="7">
        <f t="shared" si="79"/>
        <v>38.143688203479158</v>
      </c>
      <c r="AD121" s="7">
        <f t="shared" si="57"/>
        <v>47.873615373088327</v>
      </c>
      <c r="AE121">
        <f t="shared" si="58"/>
        <v>-0.11112678981712953</v>
      </c>
      <c r="AF121">
        <f t="shared" si="80"/>
        <v>-1.3594426034842379E-2</v>
      </c>
      <c r="AG121">
        <f t="shared" si="81"/>
        <v>-4.3632243821696911E-4</v>
      </c>
      <c r="AH121" s="75">
        <f t="shared" si="82"/>
        <v>-3.2520137780436276E-3</v>
      </c>
      <c r="AI121" s="7">
        <f t="shared" si="83"/>
        <v>37.322670290781417</v>
      </c>
      <c r="AJ121" s="7">
        <f t="shared" si="69"/>
        <v>38.196285663869745</v>
      </c>
      <c r="AK121" s="75">
        <f t="shared" si="84"/>
        <v>-3.2520137780436276E-3</v>
      </c>
      <c r="AL121">
        <f t="shared" si="85"/>
        <v>-8.3022025111224307E-3</v>
      </c>
      <c r="AM121">
        <f t="shared" si="86"/>
        <v>-6.8542151820619776E-4</v>
      </c>
      <c r="AN121" s="75">
        <f t="shared" si="70"/>
        <v>-3.808033193219984E-7</v>
      </c>
      <c r="AO121" s="7">
        <f t="shared" si="87"/>
        <v>36.924418222846008</v>
      </c>
    </row>
    <row r="122" spans="2:41" x14ac:dyDescent="0.25">
      <c r="B122">
        <v>8.7200000000000006</v>
      </c>
      <c r="C122" s="7">
        <f t="shared" si="59"/>
        <v>47.166666666666671</v>
      </c>
      <c r="D122" s="7">
        <f t="shared" si="53"/>
        <v>48.801666666666669</v>
      </c>
      <c r="E122">
        <f t="shared" si="54"/>
        <v>-0.10596814631430407</v>
      </c>
      <c r="F122">
        <f t="shared" si="88"/>
        <v>-1.3991655174769094E-2</v>
      </c>
      <c r="G122">
        <f t="shared" si="89"/>
        <v>-4.1988532043141745E-4</v>
      </c>
      <c r="H122" s="75">
        <f t="shared" si="71"/>
        <v>-2.1934933796337042E-3</v>
      </c>
      <c r="I122" s="7">
        <f t="shared" si="60"/>
        <v>38.453962871610656</v>
      </c>
      <c r="J122" s="7">
        <f t="shared" si="61"/>
        <v>40.088962871610654</v>
      </c>
      <c r="K122" s="75">
        <f t="shared" si="62"/>
        <v>-2.1934933796337042E-3</v>
      </c>
      <c r="L122">
        <f t="shared" si="63"/>
        <v>-9.5382370274867886E-3</v>
      </c>
      <c r="M122">
        <f t="shared" si="64"/>
        <v>-6.2222915751376404E-4</v>
      </c>
      <c r="N122" s="75">
        <f t="shared" si="65"/>
        <v>-6.4651867637266491E-8</v>
      </c>
      <c r="O122" s="7">
        <f t="shared" si="66"/>
        <v>38.22224307055599</v>
      </c>
      <c r="Q122" s="7">
        <f t="shared" si="55"/>
        <v>48.775959904348142</v>
      </c>
      <c r="R122">
        <f t="shared" si="56"/>
        <v>-0.10621116110942808</v>
      </c>
      <c r="S122">
        <f t="shared" si="72"/>
        <v>-1.3980855593849279E-2</v>
      </c>
      <c r="T122">
        <f t="shared" si="73"/>
        <v>-4.2032802772196663E-4</v>
      </c>
      <c r="U122" s="75">
        <f t="shared" si="74"/>
        <v>-2.2246013197420034E-3</v>
      </c>
      <c r="V122" s="7">
        <f t="shared" si="75"/>
        <v>38.41964067523152</v>
      </c>
      <c r="W122" s="7">
        <f t="shared" si="67"/>
        <v>40.02893391291299</v>
      </c>
      <c r="X122" s="75">
        <f t="shared" si="76"/>
        <v>-2.2246013197420034E-3</v>
      </c>
      <c r="Y122">
        <f t="shared" si="77"/>
        <v>-9.5008292449135848E-3</v>
      </c>
      <c r="Z122">
        <f t="shared" si="78"/>
        <v>-6.240967953362633E-4</v>
      </c>
      <c r="AA122" s="75">
        <f t="shared" si="68"/>
        <v>-6.859477852394491E-8</v>
      </c>
      <c r="AB122" s="7">
        <f t="shared" si="79"/>
        <v>38.183663611390649</v>
      </c>
      <c r="AD122" s="7">
        <f t="shared" si="57"/>
        <v>48.05059820922002</v>
      </c>
      <c r="AE122">
        <f t="shared" si="58"/>
        <v>-0.11318385656310603</v>
      </c>
      <c r="AF122">
        <f t="shared" si="80"/>
        <v>-1.3671363190276085E-2</v>
      </c>
      <c r="AG122">
        <f t="shared" si="81"/>
        <v>-4.3311417976103881E-4</v>
      </c>
      <c r="AH122" s="75">
        <f t="shared" si="82"/>
        <v>-3.3458719080448063E-3</v>
      </c>
      <c r="AI122" s="7">
        <f t="shared" si="83"/>
        <v>37.366386591230111</v>
      </c>
      <c r="AJ122" s="7">
        <f t="shared" si="69"/>
        <v>38.250318133783459</v>
      </c>
      <c r="AK122" s="75">
        <f t="shared" si="84"/>
        <v>-3.3458719080448063E-3</v>
      </c>
      <c r="AL122">
        <f t="shared" si="85"/>
        <v>-8.3391852129490358E-3</v>
      </c>
      <c r="AM122">
        <f t="shared" si="86"/>
        <v>-6.834864305259225E-4</v>
      </c>
      <c r="AN122" s="75">
        <f t="shared" si="70"/>
        <v>-4.0793609890066307E-7</v>
      </c>
      <c r="AO122" s="7">
        <f t="shared" si="87"/>
        <v>36.958340403938642</v>
      </c>
    </row>
    <row r="123" spans="2:41" x14ac:dyDescent="0.25">
      <c r="B123">
        <v>8.8000000000000007</v>
      </c>
      <c r="C123" s="7">
        <f t="shared" si="59"/>
        <v>47.333333333333336</v>
      </c>
      <c r="D123" s="7">
        <f t="shared" si="53"/>
        <v>48.983333333333334</v>
      </c>
      <c r="E123">
        <f t="shared" ref="E123:E137" si="90">1+LN(D123/$C$7)-($C123-E$11*$C$4*$C$6*$C$5)/$C$7</f>
        <v>-0.10799963383563438</v>
      </c>
      <c r="F123">
        <f t="shared" ref="F123:F137" si="91">1/D123-1/$C$7</f>
        <v>-1.4067651441376963E-2</v>
      </c>
      <c r="G123">
        <f t="shared" ref="G123:G137" si="92">-(D123^(-2))</f>
        <v>-4.1677660114282459E-4</v>
      </c>
      <c r="H123" s="75">
        <f t="shared" ref="H123:H137" si="93">1+LN(($C$5*((1-$C$8-H$11)*$B123-D$11*$C$4*$C$6)+I123)/$C$7)-(I123-H$11*$C$4*$C$6*$C$5)/$C$7</f>
        <v>-2.2637866585113464E-3</v>
      </c>
      <c r="I123" s="7">
        <f t="shared" ref="I123:I137" si="94">$C123-IF(E123=0,0,(F123/G123)*(1-SQRT(1-2*E123*G123/(F123^2))))</f>
        <v>38.500437556346746</v>
      </c>
      <c r="J123" s="7">
        <f t="shared" ref="J123:J137" si="95">$C$5*((1-$C$8-J$11)*$B123-J$11*$C$4*$C$6)+I123</f>
        <v>40.150437556346745</v>
      </c>
      <c r="K123" s="75">
        <f t="shared" ref="K123:K137" si="96">H123</f>
        <v>-2.2637866585113464E-3</v>
      </c>
      <c r="L123">
        <f t="shared" ref="L123:L137" si="97">1/J123-1/$C$7</f>
        <v>-9.5764298018166487E-3</v>
      </c>
      <c r="M123">
        <f t="shared" ref="M123:M137" si="98">-(J123^(-2))</f>
        <v>-6.2032521523382395E-4</v>
      </c>
      <c r="N123" s="75">
        <f t="shared" ref="N123:N137" si="99">1+LN(($C$5*((1-$C$8-N$11)*$B123-N$11*$C$4*$C$6)+O123)/$C$7)-(O123-N$11*$C$4*$C$6*$C$5)/$C$7</f>
        <v>-6.9941157310182689E-8</v>
      </c>
      <c r="O123" s="7">
        <f t="shared" ref="O123:O137" si="100">I123-IF(K123=0,0,(L123/M123)*(1-SQRT(1-2*K123*M123/(L123^2))))</f>
        <v>38.262207915827666</v>
      </c>
      <c r="Q123" s="7">
        <f t="shared" si="55"/>
        <v>48.957466257907377</v>
      </c>
      <c r="R123">
        <f t="shared" ref="R123:R137" si="101">1+LN(Q123/$C$7)-($C123-R$11*$C$4*$C$6*$C$5)/$C$7</f>
        <v>-0.1082439685182004</v>
      </c>
      <c r="S123">
        <f t="shared" ref="S123:S137" si="102">1/Q123-1/$C$7</f>
        <v>-1.4056864953480422E-2</v>
      </c>
      <c r="T123">
        <f t="shared" ref="T123:T137" si="103">-(Q123^(-2))</f>
        <v>-4.1721713210413823E-4</v>
      </c>
      <c r="U123" s="75">
        <f t="shared" ref="U123:U137" si="104">1+LN(($C$5*((1-$C$8-U$11)*$B123-Q$11*$C$4*$C$6)+V123)/$C$7)-(V123-U$11*$C$4*$C$6*$C$5)/$C$7</f>
        <v>-2.2956170110277618E-3</v>
      </c>
      <c r="V123" s="7">
        <f t="shared" ref="V123:V137" si="105">$C123-IF(R123=0,0,(S123/T123)*(1-SQRT(1-2*R123*T123/(S123^2))))</f>
        <v>38.466012594831653</v>
      </c>
      <c r="W123" s="7">
        <f t="shared" ref="W123:W137" si="106">$C$5*((1-$C$8-W$11)*$B123-W$11*$C$4*$C$6)+V123</f>
        <v>40.090145519405695</v>
      </c>
      <c r="X123" s="75">
        <f t="shared" ref="X123:X137" si="107">U123</f>
        <v>-2.2956170110277618E-3</v>
      </c>
      <c r="Y123">
        <f t="shared" ref="Y123:Y137" si="108">1/W123-1/$C$7</f>
        <v>-9.5389728837197429E-3</v>
      </c>
      <c r="Z123">
        <f t="shared" ref="Z123:Z137" si="109">-(W123^(-2))</f>
        <v>-6.2219244689186361E-4</v>
      </c>
      <c r="AA123" s="75">
        <f t="shared" ref="AA123:AA137" si="110">1+LN(($C$5*((1-$C$8-AA$11)*$B123-AA$11*$C$4*$C$6)+AB123)/$C$7)-(AB123-AA$11*$C$4*$C$6*$C$5)/$C$7</f>
        <v>-7.4179441922339606E-8</v>
      </c>
      <c r="AB123" s="7">
        <f t="shared" ref="AB123:AB137" si="111">V123-IF(X123=0,0,(Y123/Z123)*(1-SQRT(1-2*X123*Z123/(Y123^2))))</f>
        <v>38.223436914825861</v>
      </c>
      <c r="AD123" s="7">
        <f t="shared" si="57"/>
        <v>48.227581045351705</v>
      </c>
      <c r="AE123">
        <f t="shared" ref="AE123:AE137" si="112">1+LN(AD123/$C$7)-($C123-AE$11*$C$4*$C$6*$C$5)/$C$7</f>
        <v>-0.11525448980376596</v>
      </c>
      <c r="AF123">
        <f t="shared" ref="AF123:AF137" si="113">1/AD123-1/$C$7</f>
        <v>-1.3747735666508491E-2</v>
      </c>
      <c r="AG123">
        <f t="shared" ref="AG123:AG137" si="114">-(AD123^(-2))</f>
        <v>-4.2994117691041973E-4</v>
      </c>
      <c r="AH123" s="75">
        <f t="shared" ref="AH123:AH137" si="115">1+LN(($C$5*((1-$C$8-AH$11)*$B123-AD$11*$C$4*$C$6)+AI123)/$C$7)-(AI123-AH$11*$C$4*$C$6*$C$5)/$C$7</f>
        <v>-3.4410164641520691E-3</v>
      </c>
      <c r="AI123" s="7">
        <f t="shared" ref="AI123:AI137" si="116">$C123-IF(AE123=0,0,(AF123/AG123)*(1-SQRT(1-2*AE123*AG123/(AF123^2))))</f>
        <v>37.410018243050231</v>
      </c>
      <c r="AJ123" s="7">
        <f t="shared" ref="AJ123:AJ137" si="117">$C$5*((1-$C$8-AJ$11)*$B123-AJ$11*$C$4*$C$6)+AI123</f>
        <v>38.304265955068601</v>
      </c>
      <c r="AK123" s="75">
        <f t="shared" ref="AK123:AK137" si="118">AH123</f>
        <v>-3.4410164641520691E-3</v>
      </c>
      <c r="AL123">
        <f t="shared" ref="AL123:AL137" si="119">1/AJ123-1/$C$7</f>
        <v>-8.3760058852890354E-3</v>
      </c>
      <c r="AM123">
        <f t="shared" ref="AM123:AM137" si="120">-(AJ123^(-2))</f>
        <v>-6.8156253838734765E-4</v>
      </c>
      <c r="AN123" s="75">
        <f t="shared" ref="AN123:AN137" si="121">1+LN(($C$5*((1-$C$8-AN$11)*$B123-AN$11*$C$4*$C$6)+AO123)/$C$7)-(AO123-AN$11*$C$4*$C$6*$C$5)/$C$7</f>
        <v>-4.3651688641510589E-7</v>
      </c>
      <c r="AO123" s="7">
        <f t="shared" ref="AO123:AO137" si="122">AI123-IF(AK123=0,0,(AL123/AM123)*(1-SQRT(1-2*AK123*AM123/(AL123^2))))</f>
        <v>36.992093798476795</v>
      </c>
    </row>
    <row r="124" spans="2:41" x14ac:dyDescent="0.25">
      <c r="B124">
        <v>8.8800000000000008</v>
      </c>
      <c r="C124" s="7">
        <f t="shared" si="59"/>
        <v>47.5</v>
      </c>
      <c r="D124" s="7">
        <f t="shared" si="53"/>
        <v>49.164999999999999</v>
      </c>
      <c r="E124">
        <f t="shared" si="90"/>
        <v>-0.11004487623711312</v>
      </c>
      <c r="F124">
        <f t="shared" si="91"/>
        <v>-1.4143086089417407E-2</v>
      </c>
      <c r="G124">
        <f t="shared" si="92"/>
        <v>-4.1370227867939077E-4</v>
      </c>
      <c r="H124" s="75">
        <f t="shared" si="93"/>
        <v>-2.3352144960120391E-3</v>
      </c>
      <c r="I124" s="7">
        <f t="shared" si="94"/>
        <v>38.546786416320401</v>
      </c>
      <c r="J124" s="7">
        <f t="shared" si="95"/>
        <v>40.2117864163204</v>
      </c>
      <c r="K124" s="75">
        <f t="shared" si="96"/>
        <v>-2.3352144960120391E-3</v>
      </c>
      <c r="L124">
        <f t="shared" si="97"/>
        <v>-9.6144279863127936E-3</v>
      </c>
      <c r="M124">
        <f t="shared" si="98"/>
        <v>-6.1843386854068668E-4</v>
      </c>
      <c r="N124" s="75">
        <f t="shared" si="99"/>
        <v>-7.5564158708019136E-8</v>
      </c>
      <c r="O124" s="7">
        <f t="shared" si="100"/>
        <v>38.301972363682196</v>
      </c>
      <c r="Q124" s="7">
        <f t="shared" si="55"/>
        <v>49.13897261146662</v>
      </c>
      <c r="R124">
        <f t="shared" si="101"/>
        <v>-0.11029052105476866</v>
      </c>
      <c r="S124">
        <f t="shared" si="102"/>
        <v>-1.4132312796214904E-2</v>
      </c>
      <c r="T124">
        <f t="shared" si="103"/>
        <v>-4.1414064525488182E-4</v>
      </c>
      <c r="U124" s="75">
        <f t="shared" si="104"/>
        <v>-2.367772403306212E-3</v>
      </c>
      <c r="V124" s="7">
        <f t="shared" si="105"/>
        <v>38.512260093948484</v>
      </c>
      <c r="W124" s="7">
        <f t="shared" si="106"/>
        <v>40.151232705415104</v>
      </c>
      <c r="X124" s="75">
        <f t="shared" si="107"/>
        <v>-2.367772403306212E-3</v>
      </c>
      <c r="Y124">
        <f t="shared" si="108"/>
        <v>-9.576923043065351E-3</v>
      </c>
      <c r="Z124">
        <f t="shared" si="109"/>
        <v>-6.2030064581965649E-4</v>
      </c>
      <c r="AA124" s="75">
        <f t="shared" si="110"/>
        <v>-8.0114447298385016E-8</v>
      </c>
      <c r="AB124" s="7">
        <f t="shared" si="111"/>
        <v>38.263010879520692</v>
      </c>
      <c r="AD124" s="7">
        <f t="shared" si="57"/>
        <v>48.404563881483391</v>
      </c>
      <c r="AE124">
        <f t="shared" si="112"/>
        <v>-0.11733859015003878</v>
      </c>
      <c r="AF124">
        <f t="shared" si="113"/>
        <v>-1.3823549657492312E-2</v>
      </c>
      <c r="AG124">
        <f t="shared" si="114"/>
        <v>-4.2680291498505343E-4</v>
      </c>
      <c r="AH124" s="75">
        <f t="shared" si="115"/>
        <v>-3.5374402462087229E-3</v>
      </c>
      <c r="AI124" s="7">
        <f t="shared" si="116"/>
        <v>37.453566167424547</v>
      </c>
      <c r="AJ124" s="7">
        <f t="shared" si="117"/>
        <v>38.358130048907938</v>
      </c>
      <c r="AK124" s="75">
        <f t="shared" si="118"/>
        <v>-3.5374402462087229E-3</v>
      </c>
      <c r="AL124">
        <f t="shared" si="119"/>
        <v>-8.4126660816382058E-3</v>
      </c>
      <c r="AM124">
        <f t="shared" si="120"/>
        <v>-6.7964972499470603E-4</v>
      </c>
      <c r="AN124" s="75">
        <f t="shared" si="121"/>
        <v>-4.6659467689558198E-7</v>
      </c>
      <c r="AO124" s="7">
        <f t="shared" si="122"/>
        <v>37.02568071806737</v>
      </c>
    </row>
    <row r="125" spans="2:41" x14ac:dyDescent="0.25">
      <c r="B125">
        <v>8.9600000000000009</v>
      </c>
      <c r="C125" s="7">
        <f t="shared" si="59"/>
        <v>47.666666666666671</v>
      </c>
      <c r="D125" s="7">
        <f t="shared" si="53"/>
        <v>49.346666666666671</v>
      </c>
      <c r="E125">
        <f t="shared" si="90"/>
        <v>-0.11210377205616862</v>
      </c>
      <c r="F125">
        <f t="shared" si="91"/>
        <v>-1.4217965321581306E-2</v>
      </c>
      <c r="G125">
        <f t="shared" si="92"/>
        <v>-4.1066184745558654E-4</v>
      </c>
      <c r="H125" s="75">
        <f t="shared" si="93"/>
        <v>-2.4077727947131589E-3</v>
      </c>
      <c r="I125" s="7">
        <f t="shared" si="94"/>
        <v>38.593011250542361</v>
      </c>
      <c r="J125" s="7">
        <f t="shared" si="95"/>
        <v>40.273011250542361</v>
      </c>
      <c r="K125" s="75">
        <f t="shared" si="96"/>
        <v>-2.4077727947131589E-3</v>
      </c>
      <c r="L125">
        <f t="shared" si="97"/>
        <v>-9.6522339355872254E-3</v>
      </c>
      <c r="M125">
        <f t="shared" si="98"/>
        <v>-6.1655495613748121E-4</v>
      </c>
      <c r="N125" s="75">
        <f t="shared" si="99"/>
        <v>-8.1535217688610828E-8</v>
      </c>
      <c r="O125" s="7">
        <f t="shared" si="100"/>
        <v>38.341539132082339</v>
      </c>
      <c r="Q125" s="7">
        <f t="shared" si="55"/>
        <v>49.320478965025863</v>
      </c>
      <c r="R125">
        <f t="shared" si="101"/>
        <v>-0.11235071736425084</v>
      </c>
      <c r="S125">
        <f t="shared" si="102"/>
        <v>-1.420720532143804E-2</v>
      </c>
      <c r="T125">
        <f t="shared" si="103"/>
        <v>-4.1109806159079305E-4</v>
      </c>
      <c r="U125" s="75">
        <f t="shared" si="104"/>
        <v>-2.4410632993556725E-3</v>
      </c>
      <c r="V125" s="7">
        <f t="shared" si="105"/>
        <v>38.558384943599009</v>
      </c>
      <c r="W125" s="7">
        <f t="shared" si="106"/>
        <v>40.212197241958201</v>
      </c>
      <c r="X125" s="75">
        <f t="shared" si="107"/>
        <v>-2.4410632993556725E-3</v>
      </c>
      <c r="Y125">
        <f t="shared" si="108"/>
        <v>-9.6146820522055969E-3</v>
      </c>
      <c r="Z125">
        <f t="shared" si="109"/>
        <v>-6.1842123221598577E-4</v>
      </c>
      <c r="AA125" s="75">
        <f t="shared" si="110"/>
        <v>-8.641474025239404E-8</v>
      </c>
      <c r="AB125" s="7">
        <f t="shared" si="111"/>
        <v>38.302388209025466</v>
      </c>
      <c r="AD125" s="7">
        <f t="shared" si="57"/>
        <v>48.581546717615083</v>
      </c>
      <c r="AE125">
        <f t="shared" si="112"/>
        <v>-0.11943605930106438</v>
      </c>
      <c r="AF125">
        <f t="shared" si="113"/>
        <v>-1.389881126692185E-2</v>
      </c>
      <c r="AG125">
        <f t="shared" si="114"/>
        <v>-4.2369888866268464E-4</v>
      </c>
      <c r="AH125" s="75">
        <f t="shared" si="115"/>
        <v>-3.6351359646162873E-3</v>
      </c>
      <c r="AI125" s="7">
        <f t="shared" si="116"/>
        <v>37.497031248296565</v>
      </c>
      <c r="AJ125" s="7">
        <f t="shared" si="117"/>
        <v>38.411911299244977</v>
      </c>
      <c r="AK125" s="75">
        <f t="shared" si="118"/>
        <v>-3.6351359646162873E-3</v>
      </c>
      <c r="AL125">
        <f t="shared" si="119"/>
        <v>-8.449167315909778E-3</v>
      </c>
      <c r="AM125">
        <f t="shared" si="120"/>
        <v>-6.7774787622431048E-4</v>
      </c>
      <c r="AN125" s="75">
        <f t="shared" si="121"/>
        <v>-4.9821892766921394E-7</v>
      </c>
      <c r="AO125" s="7">
        <f t="shared" si="122"/>
        <v>37.059103422432905</v>
      </c>
    </row>
    <row r="126" spans="2:41" x14ac:dyDescent="0.25">
      <c r="B126">
        <v>9.0400000000000009</v>
      </c>
      <c r="C126" s="7">
        <f t="shared" si="59"/>
        <v>47.833333333333336</v>
      </c>
      <c r="D126" s="7">
        <f t="shared" si="53"/>
        <v>49.528333333333336</v>
      </c>
      <c r="E126">
        <f t="shared" si="90"/>
        <v>-0.11417622094876045</v>
      </c>
      <c r="F126">
        <f t="shared" si="91"/>
        <v>-1.429229524955529E-2</v>
      </c>
      <c r="G126">
        <f t="shared" si="92"/>
        <v>-4.0765481114111854E-4</v>
      </c>
      <c r="H126" s="75">
        <f t="shared" si="93"/>
        <v>-2.4814573101508142E-3</v>
      </c>
      <c r="I126" s="7">
        <f t="shared" si="94"/>
        <v>38.639113799541363</v>
      </c>
      <c r="J126" s="7">
        <f t="shared" si="95"/>
        <v>40.334113799541363</v>
      </c>
      <c r="K126" s="75">
        <f t="shared" si="96"/>
        <v>-2.4814573101508142E-3</v>
      </c>
      <c r="L126">
        <f t="shared" si="97"/>
        <v>-9.6898499436835692E-3</v>
      </c>
      <c r="M126">
        <f t="shared" si="98"/>
        <v>-6.1468832066636364E-4</v>
      </c>
      <c r="N126" s="75">
        <f t="shared" si="99"/>
        <v>-8.7868956999415104E-8</v>
      </c>
      <c r="O126" s="7">
        <f t="shared" si="100"/>
        <v>38.380910878421602</v>
      </c>
      <c r="Q126" s="7">
        <f t="shared" si="55"/>
        <v>49.501985318585099</v>
      </c>
      <c r="R126">
        <f t="shared" si="101"/>
        <v>-0.11442445720871497</v>
      </c>
      <c r="S126">
        <f t="shared" si="102"/>
        <v>-1.4281548637611288E-2</v>
      </c>
      <c r="T126">
        <f t="shared" si="103"/>
        <v>-4.0808888478042501E-4</v>
      </c>
      <c r="U126" s="75">
        <f t="shared" si="104"/>
        <v>-2.5154853565683144E-3</v>
      </c>
      <c r="V126" s="7">
        <f t="shared" si="105"/>
        <v>38.604388856963844</v>
      </c>
      <c r="W126" s="7">
        <f t="shared" si="106"/>
        <v>40.273040842215607</v>
      </c>
      <c r="X126" s="75">
        <f t="shared" si="107"/>
        <v>-2.5154853565683144E-3</v>
      </c>
      <c r="Y126">
        <f t="shared" si="108"/>
        <v>-9.6522521804666174E-3</v>
      </c>
      <c r="Z126">
        <f t="shared" si="109"/>
        <v>-6.1655405007795768E-4</v>
      </c>
      <c r="AA126" s="75">
        <f t="shared" si="110"/>
        <v>-9.3095548159283226E-8</v>
      </c>
      <c r="AB126" s="7">
        <f t="shared" si="111"/>
        <v>38.341571546644772</v>
      </c>
      <c r="AD126" s="7">
        <f t="shared" si="57"/>
        <v>48.758529553746769</v>
      </c>
      <c r="AE126">
        <f t="shared" si="112"/>
        <v>-0.12154680002836638</v>
      </c>
      <c r="AF126">
        <f t="shared" si="113"/>
        <v>-1.3973526509871072E-2</v>
      </c>
      <c r="AG126">
        <f t="shared" si="114"/>
        <v>-4.2062860177543199E-4</v>
      </c>
      <c r="AH126" s="75">
        <f t="shared" si="115"/>
        <v>-3.7340962468472849E-3</v>
      </c>
      <c r="AI126" s="7">
        <f t="shared" si="116"/>
        <v>37.540414334190338</v>
      </c>
      <c r="AJ126" s="7">
        <f t="shared" si="117"/>
        <v>38.465610554603771</v>
      </c>
      <c r="AK126" s="75">
        <f t="shared" si="118"/>
        <v>-3.7340962468472849E-3</v>
      </c>
      <c r="AL126">
        <f t="shared" si="119"/>
        <v>-8.4855110641884439E-3</v>
      </c>
      <c r="AM126">
        <f t="shared" si="120"/>
        <v>-6.7585688051400813E-4</v>
      </c>
      <c r="AN126" s="75">
        <f t="shared" si="121"/>
        <v>-5.3143952771783631E-7</v>
      </c>
      <c r="AO126" s="7">
        <f t="shared" si="122"/>
        <v>37.092364121027032</v>
      </c>
    </row>
    <row r="127" spans="2:41" x14ac:dyDescent="0.25">
      <c r="B127">
        <v>9.120000000000001</v>
      </c>
      <c r="C127" s="7">
        <f t="shared" si="59"/>
        <v>48</v>
      </c>
      <c r="D127" s="7">
        <f t="shared" si="53"/>
        <v>49.71</v>
      </c>
      <c r="E127">
        <f t="shared" si="90"/>
        <v>-0.11626212367299615</v>
      </c>
      <c r="F127">
        <f t="shared" si="91"/>
        <v>-1.4366081895684626E-2</v>
      </c>
      <c r="G127">
        <f t="shared" si="92"/>
        <v>-4.0468068245835907E-4</v>
      </c>
      <c r="H127" s="75">
        <f t="shared" si="93"/>
        <v>-2.5562636579312681E-3</v>
      </c>
      <c r="I127" s="7">
        <f t="shared" si="94"/>
        <v>38.685095747704096</v>
      </c>
      <c r="J127" s="7">
        <f t="shared" si="95"/>
        <v>40.395095747704097</v>
      </c>
      <c r="K127" s="75">
        <f t="shared" si="96"/>
        <v>-2.5562636579312681E-3</v>
      </c>
      <c r="L127">
        <f t="shared" si="97"/>
        <v>-9.7272782463960449E-3</v>
      </c>
      <c r="M127">
        <f t="shared" si="98"/>
        <v>-6.1283380856203603E-4</v>
      </c>
      <c r="N127" s="75">
        <f t="shared" si="99"/>
        <v>-9.4580266285504422E-8</v>
      </c>
      <c r="O127" s="7">
        <f t="shared" si="100"/>
        <v>38.420090201396782</v>
      </c>
      <c r="Q127" s="7">
        <f t="shared" si="55"/>
        <v>49.683491672144342</v>
      </c>
      <c r="R127">
        <f t="shared" si="101"/>
        <v>-0.11651164145082826</v>
      </c>
      <c r="S127">
        <f t="shared" si="102"/>
        <v>-1.4355348763933105E-2</v>
      </c>
      <c r="T127">
        <f t="shared" si="103"/>
        <v>-4.0511262754186077E-4</v>
      </c>
      <c r="U127" s="75">
        <f t="shared" si="104"/>
        <v>-2.5910340940473731E-3</v>
      </c>
      <c r="V127" s="7">
        <f t="shared" si="105"/>
        <v>38.65027349171126</v>
      </c>
      <c r="W127" s="7">
        <f t="shared" si="106"/>
        <v>40.333765163855603</v>
      </c>
      <c r="X127" s="75">
        <f t="shared" si="107"/>
        <v>-2.5910340940473731E-3</v>
      </c>
      <c r="Y127">
        <f t="shared" si="108"/>
        <v>-9.6896356395469833E-3</v>
      </c>
      <c r="Z127">
        <f t="shared" si="109"/>
        <v>-6.1469894715806476E-4</v>
      </c>
      <c r="AA127" s="75">
        <f t="shared" si="110"/>
        <v>-1.001723726190562E-7</v>
      </c>
      <c r="AB127" s="7">
        <f t="shared" si="111"/>
        <v>38.380563477300107</v>
      </c>
      <c r="AD127" s="7">
        <f t="shared" si="57"/>
        <v>48.935512389878454</v>
      </c>
      <c r="AE127">
        <f t="shared" si="112"/>
        <v>-0.12367071616030922</v>
      </c>
      <c r="AF127">
        <f t="shared" si="113"/>
        <v>-1.4047701314396192E-2</v>
      </c>
      <c r="AG127">
        <f t="shared" si="114"/>
        <v>-4.1759156711149782E-4</v>
      </c>
      <c r="AH127" s="75">
        <f t="shared" si="115"/>
        <v>-3.8343136436838066E-3</v>
      </c>
      <c r="AI127" s="7">
        <f t="shared" si="116"/>
        <v>37.583716239938127</v>
      </c>
      <c r="AJ127" s="7">
        <f t="shared" si="117"/>
        <v>38.519228629816581</v>
      </c>
      <c r="AK127" s="75">
        <f t="shared" si="118"/>
        <v>-3.8343136436838066E-3</v>
      </c>
      <c r="AL127">
        <f t="shared" si="119"/>
        <v>-8.5216987663931446E-3</v>
      </c>
      <c r="AM127">
        <f t="shared" si="120"/>
        <v>-6.7397662875836586E-4</v>
      </c>
      <c r="AN127" s="75">
        <f t="shared" si="121"/>
        <v>-5.6630676770197397E-7</v>
      </c>
      <c r="AO127" s="7">
        <f t="shared" si="122"/>
        <v>37.125464974585761</v>
      </c>
    </row>
    <row r="128" spans="2:41" x14ac:dyDescent="0.25">
      <c r="B128">
        <v>9.2000000000000011</v>
      </c>
      <c r="C128" s="7">
        <f t="shared" si="59"/>
        <v>48.166666666666671</v>
      </c>
      <c r="D128" s="7">
        <f t="shared" si="53"/>
        <v>49.891666666666673</v>
      </c>
      <c r="E128">
        <f t="shared" si="90"/>
        <v>-0.11836138207305313</v>
      </c>
      <c r="F128">
        <f t="shared" si="91"/>
        <v>-1.4439331194599794E-2</v>
      </c>
      <c r="G128">
        <f t="shared" si="92"/>
        <v>-4.0173898298493115E-4</v>
      </c>
      <c r="H128" s="75">
        <f t="shared" si="93"/>
        <v>-2.6321873205927826E-3</v>
      </c>
      <c r="I128" s="7">
        <f t="shared" si="94"/>
        <v>38.73095872551157</v>
      </c>
      <c r="J128" s="7">
        <f t="shared" si="95"/>
        <v>40.455958725511572</v>
      </c>
      <c r="K128" s="75">
        <f t="shared" si="96"/>
        <v>-2.6321873205927826E-3</v>
      </c>
      <c r="L128">
        <f t="shared" si="97"/>
        <v>-9.7645210234825232E-3</v>
      </c>
      <c r="M128">
        <f t="shared" si="98"/>
        <v>-6.1099126991198411E-4</v>
      </c>
      <c r="N128" s="75">
        <f t="shared" si="99"/>
        <v>-1.0168429520618361E-7</v>
      </c>
      <c r="O128" s="7">
        <f t="shared" si="100"/>
        <v>38.459079642806785</v>
      </c>
      <c r="Q128" s="7">
        <f t="shared" si="55"/>
        <v>49.864998025703585</v>
      </c>
      <c r="R128">
        <f t="shared" si="101"/>
        <v>-0.11861217203780283</v>
      </c>
      <c r="S128">
        <f t="shared" si="102"/>
        <v>-1.4428611631963482E-2</v>
      </c>
      <c r="T128">
        <f t="shared" si="103"/>
        <v>-4.0216881144543499E-4</v>
      </c>
      <c r="U128" s="75">
        <f t="shared" si="104"/>
        <v>-2.6677048994632191E-3</v>
      </c>
      <c r="V128" s="7">
        <f t="shared" si="105"/>
        <v>38.696040452218895</v>
      </c>
      <c r="W128" s="7">
        <f t="shared" si="106"/>
        <v>40.394371811255809</v>
      </c>
      <c r="X128" s="75">
        <f t="shared" si="107"/>
        <v>-2.6677048994632191E-3</v>
      </c>
      <c r="Y128">
        <f t="shared" si="108"/>
        <v>-9.7268345857142655E-3</v>
      </c>
      <c r="Z128">
        <f t="shared" si="109"/>
        <v>-6.1285577482547216E-4</v>
      </c>
      <c r="AA128" s="75">
        <f t="shared" si="110"/>
        <v>-1.0766098279546554E-7</v>
      </c>
      <c r="AB128" s="7">
        <f t="shared" si="111"/>
        <v>38.419366529319092</v>
      </c>
      <c r="AD128" s="7">
        <f t="shared" si="57"/>
        <v>49.112495226010147</v>
      </c>
      <c r="AE128">
        <f t="shared" si="112"/>
        <v>-0.12580771256683709</v>
      </c>
      <c r="AF128">
        <f t="shared" si="113"/>
        <v>-1.4121341523103528E-2</v>
      </c>
      <c r="AG128">
        <f t="shared" si="114"/>
        <v>-4.1458730622187263E-4</v>
      </c>
      <c r="AH128" s="75">
        <f t="shared" si="115"/>
        <v>-3.9357806351882907E-3</v>
      </c>
      <c r="AI128" s="7">
        <f t="shared" si="116"/>
        <v>37.626937748320593</v>
      </c>
      <c r="AJ128" s="7">
        <f t="shared" si="117"/>
        <v>38.572766307664068</v>
      </c>
      <c r="AK128" s="75">
        <f t="shared" si="118"/>
        <v>-3.9357806351882907E-3</v>
      </c>
      <c r="AL128">
        <f t="shared" si="119"/>
        <v>-8.5577318278534653E-3</v>
      </c>
      <c r="AM128">
        <f t="shared" si="120"/>
        <v>-6.7210701420927429E-4</v>
      </c>
      <c r="AN128" s="75">
        <f t="shared" si="121"/>
        <v>-6.028713137595787E-7</v>
      </c>
      <c r="AO128" s="7">
        <f t="shared" si="122"/>
        <v>37.158408096617805</v>
      </c>
    </row>
    <row r="129" spans="1:43" x14ac:dyDescent="0.25">
      <c r="B129">
        <v>9.2799999999999994</v>
      </c>
      <c r="C129" s="7">
        <f t="shared" si="59"/>
        <v>48.333333333333329</v>
      </c>
      <c r="D129" s="7">
        <f t="shared" si="53"/>
        <v>50.073333333333331</v>
      </c>
      <c r="E129">
        <f t="shared" si="90"/>
        <v>-0.12047389906338468</v>
      </c>
      <c r="F129">
        <f t="shared" si="91"/>
        <v>-1.4512048994807614E-2</v>
      </c>
      <c r="G129">
        <f t="shared" si="92"/>
        <v>-3.9882924296129758E-4</v>
      </c>
      <c r="H129" s="75">
        <f t="shared" si="93"/>
        <v>-2.7092236542369807E-3</v>
      </c>
      <c r="I129" s="7">
        <f t="shared" si="94"/>
        <v>38.776704311678301</v>
      </c>
      <c r="J129" s="7">
        <f t="shared" si="95"/>
        <v>40.516704311678303</v>
      </c>
      <c r="K129" s="75">
        <f t="shared" si="96"/>
        <v>-2.7092236542369807E-3</v>
      </c>
      <c r="L129">
        <f t="shared" si="97"/>
        <v>-9.8015804007778803E-3</v>
      </c>
      <c r="M129">
        <f t="shared" si="98"/>
        <v>-6.0916055832304728E-4</v>
      </c>
      <c r="N129" s="75">
        <f t="shared" si="99"/>
        <v>-1.0919644988227617E-7</v>
      </c>
      <c r="O129" s="7">
        <f t="shared" si="100"/>
        <v>38.497881689281449</v>
      </c>
      <c r="Q129" s="7">
        <f t="shared" si="55"/>
        <v>50.046504379262814</v>
      </c>
      <c r="R129">
        <f t="shared" si="101"/>
        <v>-0.12072595198563363</v>
      </c>
      <c r="S129">
        <f t="shared" si="102"/>
        <v>-1.4501343087213188E-2</v>
      </c>
      <c r="T129">
        <f t="shared" si="103"/>
        <v>-3.9925696672145458E-4</v>
      </c>
      <c r="U129" s="75">
        <f t="shared" si="104"/>
        <v>-2.7454930356727303E-3</v>
      </c>
      <c r="V129" s="7">
        <f t="shared" si="105"/>
        <v>38.741691291697741</v>
      </c>
      <c r="W129" s="7">
        <f t="shared" si="106"/>
        <v>40.454862337627226</v>
      </c>
      <c r="X129" s="75">
        <f t="shared" si="107"/>
        <v>-2.7454930356727303E-3</v>
      </c>
      <c r="Y129">
        <f t="shared" si="108"/>
        <v>-9.7638511219018988E-3</v>
      </c>
      <c r="Z129">
        <f t="shared" si="109"/>
        <v>-6.1102438793362559E-4</v>
      </c>
      <c r="AA129" s="75">
        <f t="shared" si="110"/>
        <v>-1.1557740586809473E-7</v>
      </c>
      <c r="AB129" s="7">
        <f t="shared" si="111"/>
        <v>38.457983176154684</v>
      </c>
      <c r="AD129" s="7">
        <f t="shared" si="57"/>
        <v>49.289478062141825</v>
      </c>
      <c r="AE129">
        <f t="shared" si="112"/>
        <v>-0.12795769514448763</v>
      </c>
      <c r="AF129">
        <f t="shared" si="113"/>
        <v>-1.4194452894683636E-2</v>
      </c>
      <c r="AG129">
        <f t="shared" si="114"/>
        <v>-4.1161534923188857E-4</v>
      </c>
      <c r="AH129" s="75">
        <f t="shared" si="115"/>
        <v>-4.0384896364196177E-3</v>
      </c>
      <c r="AI129" s="7">
        <f t="shared" si="116"/>
        <v>37.670079611623926</v>
      </c>
      <c r="AJ129" s="7">
        <f t="shared" si="117"/>
        <v>38.626224340432422</v>
      </c>
      <c r="AK129" s="75">
        <f t="shared" si="118"/>
        <v>-4.0384896364196177E-3</v>
      </c>
      <c r="AL129">
        <f t="shared" si="119"/>
        <v>-8.5936116208044228E-3</v>
      </c>
      <c r="AM129">
        <f t="shared" si="120"/>
        <v>-6.7024793238166657E-4</v>
      </c>
      <c r="AN129" s="75">
        <f t="shared" si="121"/>
        <v>-6.4118417797409677E-7</v>
      </c>
      <c r="AO129" s="7">
        <f t="shared" si="122"/>
        <v>37.191195554836447</v>
      </c>
    </row>
    <row r="130" spans="1:43" x14ac:dyDescent="0.25">
      <c r="B130">
        <v>9.36</v>
      </c>
      <c r="C130" s="7">
        <f t="shared" si="59"/>
        <v>48.5</v>
      </c>
      <c r="D130" s="7">
        <f t="shared" si="53"/>
        <v>50.255000000000003</v>
      </c>
      <c r="E130">
        <f t="shared" si="90"/>
        <v>-0.12259957861321902</v>
      </c>
      <c r="F130">
        <f t="shared" si="91"/>
        <v>-1.4584241060247909E-2</v>
      </c>
      <c r="G130">
        <f t="shared" si="92"/>
        <v>-3.9595100110320853E-4</v>
      </c>
      <c r="H130" s="75">
        <f t="shared" si="93"/>
        <v>-2.7873678949337233E-3</v>
      </c>
      <c r="I130" s="7">
        <f t="shared" si="94"/>
        <v>38.822334035197755</v>
      </c>
      <c r="J130" s="7">
        <f t="shared" si="95"/>
        <v>40.577334035197758</v>
      </c>
      <c r="K130" s="75">
        <f t="shared" si="96"/>
        <v>-2.7873678949337233E-3</v>
      </c>
      <c r="L130">
        <f t="shared" si="97"/>
        <v>-9.8384584522119567E-3</v>
      </c>
      <c r="M130">
        <f t="shared" si="98"/>
        <v>-6.0734153079402989E-4</v>
      </c>
      <c r="N130" s="75">
        <f t="shared" si="99"/>
        <v>-1.1713238046162644E-7</v>
      </c>
      <c r="O130" s="7">
        <f t="shared" si="100"/>
        <v>38.536498773942753</v>
      </c>
      <c r="Q130" s="7">
        <f t="shared" si="55"/>
        <v>50.228010732822064</v>
      </c>
      <c r="R130">
        <f t="shared" si="101"/>
        <v>-0.12285288536362171</v>
      </c>
      <c r="S130">
        <f t="shared" si="102"/>
        <v>-1.4573548890698524E-2</v>
      </c>
      <c r="T130">
        <f t="shared" si="103"/>
        <v>-3.963766320727735E-4</v>
      </c>
      <c r="U130" s="75">
        <f t="shared" si="104"/>
        <v>-2.8243936471101794E-3</v>
      </c>
      <c r="V130" s="7">
        <f t="shared" si="105"/>
        <v>38.787227514223375</v>
      </c>
      <c r="W130" s="7">
        <f t="shared" si="106"/>
        <v>40.515238247045438</v>
      </c>
      <c r="X130" s="75">
        <f t="shared" si="107"/>
        <v>-2.8243936471101794E-3</v>
      </c>
      <c r="Y130">
        <f t="shared" si="108"/>
        <v>-9.8006872997114386E-3</v>
      </c>
      <c r="Z130">
        <f t="shared" si="109"/>
        <v>-6.0920464469385539E-4</v>
      </c>
      <c r="AA130" s="75">
        <f t="shared" si="110"/>
        <v>-1.2393792103715384E-7</v>
      </c>
      <c r="AB130" s="7">
        <f t="shared" si="111"/>
        <v>38.496415838037905</v>
      </c>
      <c r="AD130" s="7">
        <f t="shared" si="57"/>
        <v>49.466460898273517</v>
      </c>
      <c r="AE130">
        <f t="shared" si="112"/>
        <v>-0.13012057080167172</v>
      </c>
      <c r="AF130">
        <f t="shared" si="113"/>
        <v>-1.426704110541251E-2</v>
      </c>
      <c r="AG130">
        <f t="shared" si="114"/>
        <v>-4.0867523465748317E-4</v>
      </c>
      <c r="AH130" s="75">
        <f t="shared" si="115"/>
        <v>-4.1424330029087297E-3</v>
      </c>
      <c r="AI130" s="7">
        <f t="shared" si="116"/>
        <v>37.713142553119027</v>
      </c>
      <c r="AJ130" s="7">
        <f t="shared" si="117"/>
        <v>38.679603451392545</v>
      </c>
      <c r="AK130" s="75">
        <f t="shared" si="118"/>
        <v>-4.1424330029087297E-3</v>
      </c>
      <c r="AL130">
        <f t="shared" si="119"/>
        <v>-8.6293394858045491E-3</v>
      </c>
      <c r="AM130">
        <f t="shared" si="120"/>
        <v>-6.6839928096404334E-4</v>
      </c>
      <c r="AN130" s="75">
        <f t="shared" si="121"/>
        <v>-6.8129668795435805E-7</v>
      </c>
      <c r="AO130" s="7">
        <f t="shared" si="122"/>
        <v>37.223829372535818</v>
      </c>
    </row>
    <row r="131" spans="1:43" x14ac:dyDescent="0.25">
      <c r="B131">
        <v>9.44</v>
      </c>
      <c r="C131" s="7">
        <f t="shared" si="59"/>
        <v>48.666666666666664</v>
      </c>
      <c r="D131" s="7">
        <f t="shared" si="53"/>
        <v>50.436666666666667</v>
      </c>
      <c r="E131">
        <f t="shared" si="90"/>
        <v>-0.12473832573133414</v>
      </c>
      <c r="F131">
        <f t="shared" si="91"/>
        <v>-1.4655913071816479E-2</v>
      </c>
      <c r="G131">
        <f t="shared" si="92"/>
        <v>-3.9310380441887196E-4</v>
      </c>
      <c r="H131" s="75">
        <f t="shared" si="93"/>
        <v>-2.8666151648983895E-3</v>
      </c>
      <c r="I131" s="7">
        <f t="shared" si="94"/>
        <v>38.867849377299002</v>
      </c>
      <c r="J131" s="7">
        <f t="shared" si="95"/>
        <v>40.637849377299005</v>
      </c>
      <c r="K131" s="75">
        <f t="shared" si="96"/>
        <v>-2.8666151648983895E-3</v>
      </c>
      <c r="L131">
        <f t="shared" si="97"/>
        <v>-9.875157201737178E-3</v>
      </c>
      <c r="M131">
        <f t="shared" si="98"/>
        <v>-6.0553404759403193E-4</v>
      </c>
      <c r="N131" s="75">
        <f t="shared" si="99"/>
        <v>-1.2550797712229667E-7</v>
      </c>
      <c r="O131" s="7">
        <f t="shared" si="100"/>
        <v>38.574933278002874</v>
      </c>
      <c r="Q131" s="7">
        <f t="shared" si="55"/>
        <v>50.4095170863813</v>
      </c>
      <c r="R131">
        <f t="shared" si="101"/>
        <v>-0.12499287727917596</v>
      </c>
      <c r="S131">
        <f t="shared" si="102"/>
        <v>-1.4645234720462464E-2</v>
      </c>
      <c r="T131">
        <f t="shared" si="103"/>
        <v>-3.9352735449208506E-4</v>
      </c>
      <c r="U131" s="75">
        <f t="shared" si="104"/>
        <v>-2.904401765954745E-3</v>
      </c>
      <c r="V131" s="7">
        <f t="shared" si="105"/>
        <v>38.832650576678418</v>
      </c>
      <c r="W131" s="7">
        <f t="shared" si="106"/>
        <v>40.575500996393053</v>
      </c>
      <c r="X131" s="75">
        <f t="shared" si="107"/>
        <v>-2.904401765954745E-3</v>
      </c>
      <c r="Y131">
        <f t="shared" si="108"/>
        <v>-9.8373451213247393E-3</v>
      </c>
      <c r="Z131">
        <f t="shared" si="109"/>
        <v>-6.0739640655467844E-4</v>
      </c>
      <c r="AA131" s="75">
        <f t="shared" si="110"/>
        <v>-1.3275905041965075E-7</v>
      </c>
      <c r="AB131" s="7">
        <f t="shared" si="111"/>
        <v>38.534666883566871</v>
      </c>
      <c r="AD131" s="7">
        <f t="shared" si="57"/>
        <v>49.643443734405203</v>
      </c>
      <c r="AE131">
        <f t="shared" si="112"/>
        <v>-0.13229624744422086</v>
      </c>
      <c r="AF131">
        <f t="shared" si="113"/>
        <v>-1.4339111750620612E-2</v>
      </c>
      <c r="AG131">
        <f t="shared" si="114"/>
        <v>-4.0576650922604236E-4</v>
      </c>
      <c r="AH131" s="75">
        <f t="shared" si="115"/>
        <v>-4.2476030358877814E-3</v>
      </c>
      <c r="AI131" s="7">
        <f t="shared" si="116"/>
        <v>37.756127268465491</v>
      </c>
      <c r="AJ131" s="7">
        <f t="shared" si="117"/>
        <v>38.73290433620403</v>
      </c>
      <c r="AK131" s="75">
        <f t="shared" si="118"/>
        <v>-4.2476030358877814E-3</v>
      </c>
      <c r="AL131">
        <f t="shared" si="119"/>
        <v>-8.6649167330806708E-3</v>
      </c>
      <c r="AM131">
        <f t="shared" si="120"/>
        <v>-6.6656095973357697E-4</v>
      </c>
      <c r="AN131" s="75">
        <f t="shared" si="121"/>
        <v>-7.2326046107740183E-7</v>
      </c>
      <c r="AO131" s="7">
        <f t="shared" si="122"/>
        <v>37.25631152991469</v>
      </c>
    </row>
    <row r="132" spans="1:43" x14ac:dyDescent="0.25">
      <c r="B132">
        <v>9.52</v>
      </c>
      <c r="C132" s="7">
        <f t="shared" si="59"/>
        <v>48.833333333333329</v>
      </c>
      <c r="D132" s="7">
        <f t="shared" si="53"/>
        <v>50.618333333333325</v>
      </c>
      <c r="E132">
        <f t="shared" si="90"/>
        <v>-0.12689004645110691</v>
      </c>
      <c r="F132">
        <f t="shared" si="91"/>
        <v>-1.4727070628855334E-2</v>
      </c>
      <c r="G132">
        <f t="shared" si="92"/>
        <v>-3.9028720803070671E-4</v>
      </c>
      <c r="H132" s="75">
        <f t="shared" si="93"/>
        <v>-2.9469604784606585E-3</v>
      </c>
      <c r="I132" s="7">
        <f t="shared" si="94"/>
        <v>38.913251773318869</v>
      </c>
      <c r="J132" s="7">
        <f t="shared" si="95"/>
        <v>40.698251773318866</v>
      </c>
      <c r="K132" s="75">
        <f t="shared" si="96"/>
        <v>-2.9469604784606585E-3</v>
      </c>
      <c r="L132">
        <f t="shared" si="97"/>
        <v>-9.9116786251704295E-3</v>
      </c>
      <c r="M132">
        <f t="shared" si="98"/>
        <v>-6.0373797214620503E-4</v>
      </c>
      <c r="N132" s="75">
        <f t="shared" si="99"/>
        <v>-1.3433936141282743E-7</v>
      </c>
      <c r="O132" s="7">
        <f t="shared" si="100"/>
        <v>38.61318753230092</v>
      </c>
      <c r="Q132" s="7">
        <f t="shared" si="55"/>
        <v>50.591023439940535</v>
      </c>
      <c r="R132">
        <f t="shared" si="101"/>
        <v>-0.12714583386288969</v>
      </c>
      <c r="S132">
        <f t="shared" si="102"/>
        <v>-1.4716406173063121E-2</v>
      </c>
      <c r="T132">
        <f t="shared" si="103"/>
        <v>-3.9070868908379152E-4</v>
      </c>
      <c r="U132" s="75">
        <f t="shared" si="104"/>
        <v>-2.9855123180784204E-3</v>
      </c>
      <c r="V132" s="7">
        <f t="shared" si="105"/>
        <v>38.877961890610749</v>
      </c>
      <c r="W132" s="7">
        <f t="shared" si="106"/>
        <v>40.635651997217956</v>
      </c>
      <c r="X132" s="75">
        <f t="shared" si="107"/>
        <v>-2.9855123180784204E-3</v>
      </c>
      <c r="Y132">
        <f t="shared" si="108"/>
        <v>-9.8738265413307914E-3</v>
      </c>
      <c r="Z132">
        <f t="shared" si="109"/>
        <v>-6.0559953808649774E-4</v>
      </c>
      <c r="AA132" s="75">
        <f t="shared" si="110"/>
        <v>-1.4205755372032058E-7</v>
      </c>
      <c r="AB132" s="7">
        <f t="shared" si="111"/>
        <v>38.572738631235808</v>
      </c>
      <c r="AD132" s="7">
        <f t="shared" si="57"/>
        <v>49.820426570536888</v>
      </c>
      <c r="AE132">
        <f t="shared" si="112"/>
        <v>-0.13448463396118582</v>
      </c>
      <c r="AF132">
        <f t="shared" si="113"/>
        <v>-1.4410670346130677E-2</v>
      </c>
      <c r="AG132">
        <f t="shared" si="114"/>
        <v>-4.0288872770168803E-4</v>
      </c>
      <c r="AH132" s="75">
        <f t="shared" si="115"/>
        <v>-4.3539919873043509E-3</v>
      </c>
      <c r="AI132" s="7">
        <f t="shared" si="116"/>
        <v>37.799034427046095</v>
      </c>
      <c r="AJ132" s="7">
        <f t="shared" si="117"/>
        <v>38.786127664249655</v>
      </c>
      <c r="AK132" s="75">
        <f t="shared" si="118"/>
        <v>-4.3539919873043509E-3</v>
      </c>
      <c r="AL132">
        <f t="shared" si="119"/>
        <v>-8.700344643804557E-3</v>
      </c>
      <c r="AM132">
        <f t="shared" si="120"/>
        <v>-6.6473287047548002E-4</v>
      </c>
      <c r="AN132" s="75">
        <f t="shared" si="121"/>
        <v>-7.6712737429041056E-7</v>
      </c>
      <c r="AO132" s="7">
        <f t="shared" si="122"/>
        <v>37.288643965349394</v>
      </c>
    </row>
    <row r="133" spans="1:43" x14ac:dyDescent="0.25">
      <c r="B133">
        <v>9.6</v>
      </c>
      <c r="C133" s="7">
        <f t="shared" si="59"/>
        <v>49</v>
      </c>
      <c r="D133" s="7">
        <f t="shared" si="53"/>
        <v>50.8</v>
      </c>
      <c r="E133">
        <f t="shared" si="90"/>
        <v>-0.12905464781583098</v>
      </c>
      <c r="F133">
        <f t="shared" si="91"/>
        <v>-1.4797719250610915E-2</v>
      </c>
      <c r="G133">
        <f t="shared" si="92"/>
        <v>-3.8750077500155001E-4</v>
      </c>
      <c r="H133" s="75">
        <f t="shared" si="93"/>
        <v>-3.0283987478185725E-3</v>
      </c>
      <c r="I133" s="7">
        <f t="shared" si="94"/>
        <v>38.958542614493147</v>
      </c>
      <c r="J133" s="7">
        <f t="shared" si="95"/>
        <v>40.758542614493145</v>
      </c>
      <c r="K133" s="75">
        <f t="shared" si="96"/>
        <v>-3.0283987478185725E-3</v>
      </c>
      <c r="L133">
        <f t="shared" si="97"/>
        <v>-9.9480246519531336E-3</v>
      </c>
      <c r="M133">
        <f t="shared" si="98"/>
        <v>-6.0195317091667362E-4</v>
      </c>
      <c r="N133" s="75">
        <f t="shared" si="99"/>
        <v>-1.4364287737045345E-7</v>
      </c>
      <c r="O133" s="7">
        <f t="shared" si="100"/>
        <v>38.651263818781906</v>
      </c>
      <c r="Q133" s="7">
        <f t="shared" si="55"/>
        <v>50.772529793499785</v>
      </c>
      <c r="R133">
        <f t="shared" si="101"/>
        <v>-0.1293116622538808</v>
      </c>
      <c r="S133">
        <f t="shared" si="102"/>
        <v>-1.4787068765030224E-2</v>
      </c>
      <c r="T133">
        <f t="shared" si="103"/>
        <v>-3.879201988903258E-4</v>
      </c>
      <c r="U133" s="75">
        <f t="shared" si="104"/>
        <v>-3.0677201287927502E-3</v>
      </c>
      <c r="V133" s="7">
        <f t="shared" si="105"/>
        <v>38.923162824011442</v>
      </c>
      <c r="W133" s="7">
        <f t="shared" si="106"/>
        <v>40.695692617511227</v>
      </c>
      <c r="X133" s="75">
        <f t="shared" si="107"/>
        <v>-3.0677201287927502E-3</v>
      </c>
      <c r="Y133">
        <f t="shared" si="108"/>
        <v>-9.9101334684713778E-3</v>
      </c>
      <c r="Z133">
        <f t="shared" si="109"/>
        <v>-6.0381390687143019E-4</v>
      </c>
      <c r="AA133" s="75">
        <f t="shared" si="110"/>
        <v>-1.5185041446486025E-7</v>
      </c>
      <c r="AB133" s="7">
        <f t="shared" si="111"/>
        <v>38.610633350905466</v>
      </c>
      <c r="AD133" s="7">
        <f t="shared" si="57"/>
        <v>49.997409406668581</v>
      </c>
      <c r="AE133">
        <f t="shared" si="112"/>
        <v>-0.13668564021089269</v>
      </c>
      <c r="AF133">
        <f t="shared" si="113"/>
        <v>-1.4481722329664916E-2</v>
      </c>
      <c r="AG133">
        <f t="shared" si="114"/>
        <v>-4.000414527148887E-4</v>
      </c>
      <c r="AH133" s="75">
        <f t="shared" si="115"/>
        <v>-4.4615920646084994E-3</v>
      </c>
      <c r="AI133" s="7">
        <f t="shared" si="116"/>
        <v>37.841864673233772</v>
      </c>
      <c r="AJ133" s="7">
        <f t="shared" si="117"/>
        <v>38.839274079902353</v>
      </c>
      <c r="AK133" s="75">
        <f t="shared" si="118"/>
        <v>-4.4615920646084994E-3</v>
      </c>
      <c r="AL133">
        <f t="shared" si="119"/>
        <v>-8.7356244713040765E-3</v>
      </c>
      <c r="AM133">
        <f t="shared" si="120"/>
        <v>-6.6291491690645703E-4</v>
      </c>
      <c r="AN133" s="75">
        <f t="shared" si="121"/>
        <v>-8.1294953768740186E-7</v>
      </c>
      <c r="AO133" s="7">
        <f t="shared" si="122"/>
        <v>37.320828576618943</v>
      </c>
    </row>
    <row r="134" spans="1:43" x14ac:dyDescent="0.25">
      <c r="B134">
        <v>9.68</v>
      </c>
      <c r="C134" s="7">
        <f t="shared" si="59"/>
        <v>49.166666666666671</v>
      </c>
      <c r="D134" s="7">
        <f t="shared" si="53"/>
        <v>50.981666666666669</v>
      </c>
      <c r="E134">
        <f t="shared" si="90"/>
        <v>-0.13123203786429594</v>
      </c>
      <c r="F134">
        <f t="shared" si="91"/>
        <v>-1.4867864377661116E-2</v>
      </c>
      <c r="G134">
        <f t="shared" si="92"/>
        <v>-3.8474407616519412E-4</v>
      </c>
      <c r="H134" s="75">
        <f t="shared" si="93"/>
        <v>-3.1109247885925395E-3</v>
      </c>
      <c r="I134" s="7">
        <f t="shared" si="94"/>
        <v>39.003723249670827</v>
      </c>
      <c r="J134" s="7">
        <f t="shared" si="95"/>
        <v>40.818723249670825</v>
      </c>
      <c r="K134" s="75">
        <f t="shared" si="96"/>
        <v>-3.1109247885925395E-3</v>
      </c>
      <c r="L134">
        <f t="shared" si="97"/>
        <v>-9.9841971668336894E-3</v>
      </c>
      <c r="M134">
        <f t="shared" si="98"/>
        <v>-6.0017951330835735E-4</v>
      </c>
      <c r="N134" s="75">
        <f t="shared" si="99"/>
        <v>-1.5343508485976542E-7</v>
      </c>
      <c r="O134" s="7">
        <f t="shared" si="100"/>
        <v>38.689164371920064</v>
      </c>
      <c r="Q134" s="7">
        <f t="shared" si="55"/>
        <v>50.954036147059028</v>
      </c>
      <c r="R134">
        <f t="shared" si="101"/>
        <v>-0.13149027058539975</v>
      </c>
      <c r="S134">
        <f t="shared" si="102"/>
        <v>-1.4857227934290475E-2</v>
      </c>
      <c r="T134">
        <f t="shared" si="103"/>
        <v>-3.8516145472279584E-4</v>
      </c>
      <c r="U134" s="75">
        <f t="shared" si="104"/>
        <v>-3.1510199283786289E-3</v>
      </c>
      <c r="V134" s="7">
        <f t="shared" si="105"/>
        <v>38.968254703015496</v>
      </c>
      <c r="W134" s="7">
        <f t="shared" si="106"/>
        <v>40.755624183407853</v>
      </c>
      <c r="X134" s="75">
        <f t="shared" si="107"/>
        <v>-3.1510199283786289E-3</v>
      </c>
      <c r="Y134">
        <f t="shared" si="108"/>
        <v>-9.9462677673091519E-3</v>
      </c>
      <c r="Z134">
        <f t="shared" si="109"/>
        <v>-6.0203938339802498E-4</v>
      </c>
      <c r="AA134" s="75">
        <f t="shared" si="110"/>
        <v>-1.6215483822357157E-7</v>
      </c>
      <c r="AB134" s="7">
        <f t="shared" si="111"/>
        <v>38.648353265219342</v>
      </c>
      <c r="AD134" s="7">
        <f t="shared" si="57"/>
        <v>50.174392242800273</v>
      </c>
      <c r="AE134">
        <f t="shared" si="112"/>
        <v>-0.13889917700724097</v>
      </c>
      <c r="AF134">
        <f t="shared" si="113"/>
        <v>-1.4552273062222447E-2</v>
      </c>
      <c r="AG134">
        <f t="shared" si="114"/>
        <v>-3.9722425459626996E-4</v>
      </c>
      <c r="AH134" s="75">
        <f t="shared" si="115"/>
        <v>-4.57039543533444E-3</v>
      </c>
      <c r="AI134" s="7">
        <f t="shared" si="116"/>
        <v>37.884618627595671</v>
      </c>
      <c r="AJ134" s="7">
        <f t="shared" si="117"/>
        <v>38.892344203729273</v>
      </c>
      <c r="AK134" s="75">
        <f t="shared" si="118"/>
        <v>-4.57039543533444E-3</v>
      </c>
      <c r="AL134">
        <f t="shared" si="119"/>
        <v>-8.7707574422131729E-3</v>
      </c>
      <c r="AM134">
        <f t="shared" si="120"/>
        <v>-6.6110700460197589E-4</v>
      </c>
      <c r="AN134" s="75">
        <f t="shared" si="121"/>
        <v>-8.607792663095637E-7</v>
      </c>
      <c r="AO134" s="7">
        <f t="shared" si="122"/>
        <v>37.352867222084214</v>
      </c>
    </row>
    <row r="135" spans="1:43" x14ac:dyDescent="0.25">
      <c r="B135">
        <v>9.76</v>
      </c>
      <c r="C135" s="7">
        <f t="shared" si="59"/>
        <v>49.333333333333329</v>
      </c>
      <c r="D135" s="7">
        <f t="shared" si="53"/>
        <v>51.163333333333327</v>
      </c>
      <c r="E135">
        <f t="shared" si="90"/>
        <v>-0.13342212561662348</v>
      </c>
      <c r="F135">
        <f t="shared" si="91"/>
        <v>-1.4937511373311972E-2</v>
      </c>
      <c r="G135">
        <f t="shared" si="92"/>
        <v>-3.8201668996112485E-4</v>
      </c>
      <c r="H135" s="75">
        <f t="shared" si="93"/>
        <v>-3.1945333251810482E-3</v>
      </c>
      <c r="I135" s="7">
        <f t="shared" si="94"/>
        <v>39.048794986955116</v>
      </c>
      <c r="J135" s="7">
        <f t="shared" si="95"/>
        <v>40.878794986955114</v>
      </c>
      <c r="K135" s="75">
        <f t="shared" si="96"/>
        <v>-3.1945333251810482E-3</v>
      </c>
      <c r="L135">
        <f t="shared" si="97"/>
        <v>-1.0020198011476213E-2</v>
      </c>
      <c r="M135">
        <f t="shared" si="98"/>
        <v>-5.9841687155944099E-4</v>
      </c>
      <c r="N135" s="75">
        <f t="shared" si="99"/>
        <v>-1.6373275135705967E-7</v>
      </c>
      <c r="O135" s="7">
        <f t="shared" si="100"/>
        <v>38.726891380089583</v>
      </c>
      <c r="Q135" s="7">
        <f t="shared" si="55"/>
        <v>51.135542500618257</v>
      </c>
      <c r="R135">
        <f t="shared" si="101"/>
        <v>-0.13368156797068531</v>
      </c>
      <c r="S135">
        <f t="shared" si="102"/>
        <v>-1.4926889041562585E-2</v>
      </c>
      <c r="T135">
        <f t="shared" si="103"/>
        <v>-3.8243203499582762E-4</v>
      </c>
      <c r="U135" s="75">
        <f t="shared" si="104"/>
        <v>-3.2354063574315806E-3</v>
      </c>
      <c r="V135" s="7">
        <f t="shared" si="105"/>
        <v>39.013238813530307</v>
      </c>
      <c r="W135" s="7">
        <f t="shared" si="106"/>
        <v>40.815447980815236</v>
      </c>
      <c r="X135" s="75">
        <f t="shared" si="107"/>
        <v>-3.2354063574315806E-3</v>
      </c>
      <c r="Y135">
        <f t="shared" si="108"/>
        <v>-9.982231259822838E-3</v>
      </c>
      <c r="Z135">
        <f t="shared" si="109"/>
        <v>-6.0027584096058355E-4</v>
      </c>
      <c r="AA135" s="75">
        <f t="shared" si="110"/>
        <v>-1.7298823840050659E-7</v>
      </c>
      <c r="AB135" s="7">
        <f t="shared" si="111"/>
        <v>38.685900550966643</v>
      </c>
      <c r="AD135" s="7">
        <f t="shared" si="57"/>
        <v>50.351375078931952</v>
      </c>
      <c r="AE135">
        <f t="shared" si="112"/>
        <v>-0.14112515610624499</v>
      </c>
      <c r="AF135">
        <f t="shared" si="113"/>
        <v>-1.4622327829427701E-2</v>
      </c>
      <c r="AG135">
        <f t="shared" si="114"/>
        <v>-3.9443671121450598E-4</v>
      </c>
      <c r="AH135" s="75">
        <f t="shared" si="115"/>
        <v>-4.680394231480367E-3</v>
      </c>
      <c r="AI135" s="7">
        <f t="shared" si="116"/>
        <v>37.927296888037134</v>
      </c>
      <c r="AJ135" s="7">
        <f t="shared" si="117"/>
        <v>38.945338633635757</v>
      </c>
      <c r="AK135" s="75">
        <f t="shared" si="118"/>
        <v>-4.680394231480367E-3</v>
      </c>
      <c r="AL135">
        <f t="shared" si="119"/>
        <v>-8.8057447575637035E-3</v>
      </c>
      <c r="AM135">
        <f t="shared" si="120"/>
        <v>-6.5930904092716223E-4</v>
      </c>
      <c r="AN135" s="75">
        <f t="shared" si="121"/>
        <v>-9.1066905150150035E-7</v>
      </c>
      <c r="AO135" s="7">
        <f t="shared" si="122"/>
        <v>37.38476172182321</v>
      </c>
    </row>
    <row r="136" spans="1:43" x14ac:dyDescent="0.25">
      <c r="B136">
        <v>9.84</v>
      </c>
      <c r="C136" s="7">
        <f t="shared" si="59"/>
        <v>49.5</v>
      </c>
      <c r="D136" s="7">
        <f t="shared" si="53"/>
        <v>51.344999999999999</v>
      </c>
      <c r="E136">
        <f t="shared" si="90"/>
        <v>-0.13562482106035367</v>
      </c>
      <c r="F136">
        <f t="shared" si="91"/>
        <v>-1.5006665524964657E-2</v>
      </c>
      <c r="G136">
        <f t="shared" si="92"/>
        <v>-3.7931820227334691E-4</v>
      </c>
      <c r="H136" s="75">
        <f t="shared" si="93"/>
        <v>-3.279218995926092E-3</v>
      </c>
      <c r="I136" s="7">
        <f t="shared" si="94"/>
        <v>39.093759095274351</v>
      </c>
      <c r="J136" s="7">
        <f t="shared" si="95"/>
        <v>40.938759095274349</v>
      </c>
      <c r="K136" s="75">
        <f t="shared" si="96"/>
        <v>-3.279218995926092E-3</v>
      </c>
      <c r="L136">
        <f t="shared" si="97"/>
        <v>-1.0056028985998989E-2</v>
      </c>
      <c r="M136">
        <f t="shared" si="98"/>
        <v>-5.9666512064627522E-4</v>
      </c>
      <c r="N136" s="75">
        <f t="shared" si="99"/>
        <v>-1.7455284262446469E-7</v>
      </c>
      <c r="O136" s="7">
        <f t="shared" si="100"/>
        <v>38.764446986884614</v>
      </c>
      <c r="Q136" s="7">
        <f t="shared" si="55"/>
        <v>51.317048854177507</v>
      </c>
      <c r="R136">
        <f t="shared" si="101"/>
        <v>-0.13588546448907923</v>
      </c>
      <c r="S136">
        <f t="shared" si="102"/>
        <v>-1.4996057371722681E-2</v>
      </c>
      <c r="T136">
        <f t="shared" si="103"/>
        <v>-3.79731525566491E-4</v>
      </c>
      <c r="U136" s="75">
        <f t="shared" si="104"/>
        <v>-3.3208739720036462E-3</v>
      </c>
      <c r="V136" s="7">
        <f t="shared" si="105"/>
        <v>39.058116402793658</v>
      </c>
      <c r="W136" s="7">
        <f t="shared" si="106"/>
        <v>40.875165256971165</v>
      </c>
      <c r="X136" s="75">
        <f t="shared" si="107"/>
        <v>-3.3208739720036462E-3</v>
      </c>
      <c r="Y136">
        <f t="shared" si="108"/>
        <v>-1.0018025726932063E-2</v>
      </c>
      <c r="Z136">
        <f t="shared" si="109"/>
        <v>-5.9852315556290479E-4</v>
      </c>
      <c r="AA136" s="75">
        <f t="shared" si="110"/>
        <v>-1.8436823157053084E-7</v>
      </c>
      <c r="AB136" s="7">
        <f t="shared" si="111"/>
        <v>38.723277340395548</v>
      </c>
      <c r="AD136" s="7">
        <f t="shared" si="57"/>
        <v>50.528357915063644</v>
      </c>
      <c r="AE136">
        <f t="shared" si="112"/>
        <v>-0.14336349019281247</v>
      </c>
      <c r="AF136">
        <f t="shared" si="113"/>
        <v>-1.4691891842850482E-2</v>
      </c>
      <c r="AG136">
        <f t="shared" si="114"/>
        <v>-3.9167840781817822E-4</v>
      </c>
      <c r="AH136" s="75">
        <f t="shared" si="115"/>
        <v>-4.7915805536928868E-3</v>
      </c>
      <c r="AI136" s="7">
        <f t="shared" si="116"/>
        <v>37.969900030888724</v>
      </c>
      <c r="AJ136" s="7">
        <f t="shared" si="117"/>
        <v>38.998257945952368</v>
      </c>
      <c r="AK136" s="75">
        <f t="shared" si="118"/>
        <v>-4.7915805536928868E-3</v>
      </c>
      <c r="AL136">
        <f t="shared" si="119"/>
        <v>-8.8405875938222835E-3</v>
      </c>
      <c r="AM136">
        <f t="shared" si="120"/>
        <v>-6.5752093497111635E-4</v>
      </c>
      <c r="AN136" s="75">
        <f t="shared" si="121"/>
        <v>-9.6267153626428126E-7</v>
      </c>
      <c r="AO136" s="7">
        <f t="shared" si="122"/>
        <v>37.416513858724706</v>
      </c>
    </row>
    <row r="137" spans="1:43" x14ac:dyDescent="0.25">
      <c r="B137">
        <v>9.92</v>
      </c>
      <c r="C137" s="7">
        <f t="shared" si="59"/>
        <v>49.666666666666671</v>
      </c>
      <c r="D137" s="7">
        <f t="shared" si="53"/>
        <v>51.526666666666671</v>
      </c>
      <c r="E137">
        <f t="shared" si="90"/>
        <v>-0.13784003513677856</v>
      </c>
      <c r="F137">
        <f t="shared" si="91"/>
        <v>-1.5075332045453534E-2</v>
      </c>
      <c r="G137">
        <f t="shared" si="92"/>
        <v>-3.766482062731813E-4</v>
      </c>
      <c r="H137" s="75">
        <f t="shared" si="93"/>
        <v>-3.3649763580925196E-3</v>
      </c>
      <c r="I137" s="7">
        <f t="shared" si="94"/>
        <v>39.138616805886031</v>
      </c>
      <c r="J137" s="7">
        <f t="shared" si="95"/>
        <v>40.99861680588603</v>
      </c>
      <c r="K137" s="75">
        <f t="shared" si="96"/>
        <v>-3.3649763580925196E-3</v>
      </c>
      <c r="L137">
        <f t="shared" si="97"/>
        <v>-1.0091691850445995E-2</v>
      </c>
      <c r="M137">
        <f t="shared" si="98"/>
        <v>-5.9492413819048448E-4</v>
      </c>
      <c r="N137" s="75">
        <f t="shared" si="99"/>
        <v>-1.859125144942908E-7</v>
      </c>
      <c r="O137" s="7">
        <f t="shared" si="100"/>
        <v>38.80183329239108</v>
      </c>
      <c r="Q137" s="7">
        <f t="shared" si="55"/>
        <v>51.49855520773675</v>
      </c>
      <c r="R137">
        <f t="shared" si="101"/>
        <v>-0.13810187117237915</v>
      </c>
      <c r="S137">
        <f t="shared" si="102"/>
        <v>-1.5064738135140816E-2</v>
      </c>
      <c r="T137">
        <f t="shared" si="103"/>
        <v>-3.7705951957719432E-4</v>
      </c>
      <c r="U137" s="75">
        <f t="shared" si="104"/>
        <v>-3.407417248569411E-3</v>
      </c>
      <c r="V137" s="7">
        <f t="shared" si="105"/>
        <v>39.102888680865739</v>
      </c>
      <c r="W137" s="7">
        <f t="shared" si="106"/>
        <v>40.934777221935818</v>
      </c>
      <c r="X137" s="75">
        <f t="shared" si="107"/>
        <v>-3.407417248569411E-3</v>
      </c>
      <c r="Y137">
        <f t="shared" si="108"/>
        <v>-1.0053652909956055E-2</v>
      </c>
      <c r="Z137">
        <f t="shared" si="109"/>
        <v>-5.9678120582619702E-4</v>
      </c>
      <c r="AA137" s="75">
        <f t="shared" si="110"/>
        <v>-1.9631262748731615E-7</v>
      </c>
      <c r="AB137" s="7">
        <f t="shared" si="111"/>
        <v>38.760485722477917</v>
      </c>
      <c r="AD137" s="7">
        <f t="shared" si="57"/>
        <v>50.705340751195337</v>
      </c>
      <c r="AE137">
        <f t="shared" si="112"/>
        <v>-0.14561409286775118</v>
      </c>
      <c r="AF137">
        <f t="shared" si="113"/>
        <v>-1.4760970241298361E-2</v>
      </c>
      <c r="AG137">
        <f t="shared" si="114"/>
        <v>-3.8894893688149346E-4</v>
      </c>
      <c r="AH137" s="75">
        <f t="shared" si="115"/>
        <v>-4.9039464752675954E-3</v>
      </c>
      <c r="AI137" s="7">
        <f t="shared" si="116"/>
        <v>38.012428611939363</v>
      </c>
      <c r="AJ137" s="7">
        <f t="shared" si="117"/>
        <v>39.051102696468028</v>
      </c>
      <c r="AK137" s="75">
        <f t="shared" si="118"/>
        <v>-4.9039464752675954E-3</v>
      </c>
      <c r="AL137">
        <f t="shared" si="119"/>
        <v>-8.8752871038752304E-3</v>
      </c>
      <c r="AM137">
        <f t="shared" si="120"/>
        <v>-6.5574259748446204E-4</v>
      </c>
      <c r="AN137" s="75">
        <f t="shared" si="121"/>
        <v>-1.016839486611687E-6</v>
      </c>
      <c r="AO137" s="7">
        <f t="shared" si="122"/>
        <v>37.44812537954175</v>
      </c>
    </row>
    <row r="138" spans="1:43" x14ac:dyDescent="0.25">
      <c r="B138">
        <v>10</v>
      </c>
      <c r="C138" s="7">
        <f t="shared" si="59"/>
        <v>49.833333333333336</v>
      </c>
      <c r="D138" s="7">
        <f t="shared" si="53"/>
        <v>51.708333333333336</v>
      </c>
      <c r="E138">
        <f t="shared" ref="E138" si="123">1+LN(D138/$C$7)-($C138-E$11*$C$4*$C$6*$C$5)/$C$7</f>
        <v>-0.14006767972751355</v>
      </c>
      <c r="F138">
        <f t="shared" ref="F138" si="124">1/D138-1/$C$7</f>
        <v>-1.5143516074356055E-2</v>
      </c>
      <c r="G138">
        <f t="shared" ref="G138" si="125">-(D138^(-2))</f>
        <v>-3.7400630226591973E-4</v>
      </c>
      <c r="H138" s="75">
        <f t="shared" ref="H138" si="126">1+LN(($C$5*((1-$C$8-H$11)*$B138-D$11*$C$4*$C$6)+I138)/$C$7)-(I138-H$11*$C$4*$C$6*$C$5)/$C$7</f>
        <v>-3.4517998926679727E-3</v>
      </c>
      <c r="I138" s="7">
        <f t="shared" ref="I138" si="127">$C138-IF(E138=0,0,(F138/G138)*(1-SQRT(1-2*E138*G138/(F138^2))))</f>
        <v>39.183369313817444</v>
      </c>
      <c r="J138" s="7">
        <f t="shared" ref="J138" si="128">$C$5*((1-$C$8-J$11)*$B138-J$11*$C$4*$C$6)+I138</f>
        <v>41.058369313817444</v>
      </c>
      <c r="K138" s="75">
        <f t="shared" ref="K138" si="129">H138</f>
        <v>-3.4517998926679727E-3</v>
      </c>
      <c r="L138">
        <f t="shared" ref="L138" si="130">1/J138-1/$C$7</f>
        <v>-1.0127188326195073E-2</v>
      </c>
      <c r="M138">
        <f t="shared" ref="M138" si="131">-(J138^(-2))</f>
        <v>-5.9319380437006686E-4</v>
      </c>
      <c r="N138" s="75">
        <f t="shared" ref="N138" si="132">1+LN(($C$5*((1-$C$8-N$11)*$B138-N$11*$C$4*$C$6)+O138)/$C$7)-(O138-N$11*$C$4*$C$6*$C$5)/$C$7</f>
        <v>-1.9782910642973661E-7</v>
      </c>
      <c r="O138" s="7">
        <f t="shared" ref="O138" si="133">I138-IF(K138=0,0,(L138/M138)*(1-SQRT(1-2*K138*M138/(L138^2))))</f>
        <v>38.839052354412551</v>
      </c>
      <c r="Q138" s="7">
        <f t="shared" si="55"/>
        <v>51.680061561295986</v>
      </c>
      <c r="R138">
        <f t="shared" ref="R138" si="134">1+LN(Q138/$C$7)-($C138-R$11*$C$4*$C$6*$C$5)/$C$7</f>
        <v>-0.14033069999143599</v>
      </c>
      <c r="S138">
        <f t="shared" ref="S138" si="135">1/Q138-1/$C$7</f>
        <v>-1.5132936468989361E-2</v>
      </c>
      <c r="T138">
        <f t="shared" ref="T138" si="136">-(Q138^(-2))</f>
        <v>-3.7441561730243141E-4</v>
      </c>
      <c r="U138" s="75">
        <f t="shared" ref="U138" si="137">1+LN(($C$5*((1-$C$8-U$11)*$B138-Q$11*$C$4*$C$6)+V138)/$C$7)-(V138-U$11*$C$4*$C$6*$C$5)/$C$7</f>
        <v>-3.4950305888044042E-3</v>
      </c>
      <c r="V138" s="7">
        <f t="shared" ref="V138" si="138">$C138-IF(R138=0,0,(S138/T138)*(1-SQRT(1-2*R138*T138/(S138^2))))</f>
        <v>39.147556822057503</v>
      </c>
      <c r="W138" s="7">
        <f t="shared" ref="W138" si="139">$C$5*((1-$C$8-W$11)*$B138-W$11*$C$4*$C$6)+V138</f>
        <v>40.994285050020153</v>
      </c>
      <c r="X138" s="75">
        <f t="shared" ref="X138" si="140">U138</f>
        <v>-3.4950305888044042E-3</v>
      </c>
      <c r="Y138">
        <f t="shared" ref="Y138" si="141">1/W138-1/$C$7</f>
        <v>-1.008911451200899E-2</v>
      </c>
      <c r="Z138">
        <f t="shared" ref="Z138" si="142">-(W138^(-2))</f>
        <v>-5.9504987290097096E-4</v>
      </c>
      <c r="AA138" s="75">
        <f t="shared" ref="AA138" si="143">1+LN(($C$5*((1-$C$8-AA$11)*$B138-AA$11*$C$4*$C$6)+AB138)/$C$7)-(AB138-AA$11*$C$4*$C$6*$C$5)/$C$7</f>
        <v>-2.0883941798111039E-7</v>
      </c>
      <c r="AB138" s="7">
        <f t="shared" ref="AB138" si="144">V138-IF(X138=0,0,(Y138/Z138)*(1-SQRT(1-2*X138*Z138/(Y138^2))))</f>
        <v>38.797527744128622</v>
      </c>
      <c r="AD138" s="7">
        <f t="shared" si="57"/>
        <v>50.882323587327022</v>
      </c>
      <c r="AE138">
        <f t="shared" ref="AE138" si="145">1+LN(AD138/$C$7)-($C138-AE$11*$C$4*$C$6*$C$5)/$C$7</f>
        <v>-0.14787687863500376</v>
      </c>
      <c r="AF138">
        <f t="shared" ref="AF138" si="146">1/AD138-1/$C$7</f>
        <v>-1.4829568092082104E-2</v>
      </c>
      <c r="AG138">
        <f t="shared" ref="AG138" si="147">-(AD138^(-2))</f>
        <v>-3.8624789795374954E-4</v>
      </c>
      <c r="AH138" s="75">
        <f t="shared" ref="AH138" si="148">1+LN(($C$5*((1-$C$8-AH$11)*$B138-AD$11*$C$4*$C$6)+AI138)/$C$7)-(AI138-AH$11*$C$4*$C$6*$C$5)/$C$7</f>
        <v>-5.0174840459700221E-3</v>
      </c>
      <c r="AI138" s="7">
        <f t="shared" ref="AI138" si="149">$C138-IF(AE138=0,0,(AF138/AG138)*(1-SQRT(1-2*AE138*AG138/(AF138^2))))</f>
        <v>38.054883167418375</v>
      </c>
      <c r="AJ138" s="7">
        <f t="shared" ref="AJ138" si="150">$C$5*((1-$C$8-AJ$11)*$B138-AJ$11*$C$4*$C$6)+AI138</f>
        <v>39.103873421412061</v>
      </c>
      <c r="AK138" s="75">
        <f t="shared" ref="AK138" si="151">AH138</f>
        <v>-5.0174840459700221E-3</v>
      </c>
      <c r="AL138">
        <f t="shared" ref="AL138" si="152">1/AJ138-1/$C$7</f>
        <v>-8.9098444179643785E-3</v>
      </c>
      <c r="AM138">
        <f t="shared" ref="AM138" si="153">-(AJ138^(-2))</f>
        <v>-6.5397394081994828E-4</v>
      </c>
      <c r="AN138" s="75">
        <f t="shared" ref="AN138" si="154">1+LN(($C$5*((1-$C$8-AN$11)*$B138-AN$11*$C$4*$C$6)+AO138)/$C$7)-(AO138-AN$11*$C$4*$C$6*$C$5)/$C$7</f>
        <v>-1.0732257662571243E-6</v>
      </c>
      <c r="AO138" s="7">
        <f t="shared" ref="AO138" si="155">AI138-IF(AK138=0,0,(AL138/AM138)*(1-SQRT(1-2*AK138*AM138/(AL138^2))))</f>
        <v>37.479597995907135</v>
      </c>
    </row>
    <row r="140" spans="1:43" x14ac:dyDescent="0.25">
      <c r="A140" s="3"/>
      <c r="B140" s="9">
        <f>ParametersTax!$B$6</f>
        <v>4.2</v>
      </c>
      <c r="C140" s="7">
        <f t="shared" si="59"/>
        <v>37.75</v>
      </c>
      <c r="D140" s="7">
        <f t="shared" si="53"/>
        <v>38.537500000000001</v>
      </c>
      <c r="E140">
        <f t="shared" si="54"/>
        <v>-1.7388174705239789E-2</v>
      </c>
      <c r="F140">
        <f t="shared" ref="F140" si="156">1/D140-1/$C$7</f>
        <v>-8.5340074043419416E-3</v>
      </c>
      <c r="G140">
        <f t="shared" ref="G140" si="157">-(D140^(-2))</f>
        <v>-6.7333768968790681E-4</v>
      </c>
      <c r="H140" s="75">
        <f t="shared" ref="H140" si="158">1+LN(($C$5*((1-$C$8-H$11)*$B140-D$11*$C$4*$C$6)+I140)/$C$7)-(I140-H$11*$C$4*$C$6*$C$5)/$C$7</f>
        <v>-6.7940813943678791E-5</v>
      </c>
      <c r="I140" s="7">
        <f t="shared" ref="I140" si="159">$C140-IF(E140=0,0,(F140/G140)*(1-SQRT(1-2*E140*G140/(F140^2))))</f>
        <v>35.515511463217315</v>
      </c>
      <c r="J140" s="7">
        <f t="shared" si="61"/>
        <v>36.303011463217317</v>
      </c>
      <c r="K140" s="75">
        <f t="shared" ref="K140" si="160">H140</f>
        <v>-6.7940813943678791E-5</v>
      </c>
      <c r="L140">
        <f t="shared" ref="L140" si="161">1/J140-1/$C$7</f>
        <v>-6.9368344757130586E-3</v>
      </c>
      <c r="M140">
        <f t="shared" ref="M140" si="162">-(J140^(-2))</f>
        <v>-7.587779370008045E-4</v>
      </c>
      <c r="N140" s="75">
        <f t="shared" si="65"/>
        <v>-6.5574212726460246E-12</v>
      </c>
      <c r="O140" s="7">
        <f t="shared" ref="O140" si="163">I140-IF(K140=0,0,(L140/M140)*(1-SQRT(1-2*K140*M140/(L140^2))))</f>
        <v>35.505712001128607</v>
      </c>
      <c r="Q140" s="7">
        <f t="shared" si="55"/>
        <v>38.520850928251043</v>
      </c>
      <c r="R140">
        <f t="shared" si="56"/>
        <v>-1.7536406757141076E-2</v>
      </c>
      <c r="S140">
        <f t="shared" ref="S140" si="164">1/Q140-1/$C$7</f>
        <v>-8.5227921115748756E-3</v>
      </c>
      <c r="T140">
        <f t="shared" ref="T140" si="165">-(Q140^(-2))</f>
        <v>-6.7391986115436097E-4</v>
      </c>
      <c r="U140" s="75">
        <f t="shared" ref="U140" si="166">1+LN(($C$5*((1-$C$8-U$11)*$B140-Q$11*$C$4*$C$6)+V140)/$C$7)-(V140-U$11*$C$4*$C$6*$C$5)/$C$7</f>
        <v>-7.0369065016340215E-5</v>
      </c>
      <c r="V140" s="7">
        <f t="shared" ref="V140" si="167">$C140-IF(R140=0,0,(S140/T140)*(1-SQRT(1-2*R140*T140/(S140^2))))</f>
        <v>35.490578130744126</v>
      </c>
      <c r="W140" s="7">
        <f t="shared" si="67"/>
        <v>36.261429058995169</v>
      </c>
      <c r="X140" s="75">
        <f t="shared" ref="X140" si="168">U140</f>
        <v>-7.0369065016340215E-5</v>
      </c>
      <c r="Y140">
        <f t="shared" ref="Y140" si="169">1/W140-1/$C$7</f>
        <v>-6.905246483121661E-3</v>
      </c>
      <c r="Z140">
        <f t="shared" ref="Z140" si="170">-(W140^(-2))</f>
        <v>-7.6051917569771004E-4</v>
      </c>
      <c r="AA140" s="75">
        <f t="shared" si="68"/>
        <v>-7.4127370908172452E-12</v>
      </c>
      <c r="AB140" s="7">
        <f t="shared" ref="AB140" si="171">V140-IF(X140=0,0,(Y140/Z140)*(1-SQRT(1-2*X140*Z140/(Y140^2))))</f>
        <v>35.480381738854028</v>
      </c>
      <c r="AD140" s="7">
        <f t="shared" si="57"/>
        <v>38.05106796777963</v>
      </c>
      <c r="AE140">
        <f t="shared" si="58"/>
        <v>-2.1796646549207432E-2</v>
      </c>
      <c r="AF140">
        <f t="shared" ref="AF140" si="172">1/AD140-1/$C$7</f>
        <v>-8.202287311795866E-3</v>
      </c>
      <c r="AG140">
        <f t="shared" ref="AG140" si="173">-(AD140^(-2))</f>
        <v>-6.9066317221758947E-4</v>
      </c>
      <c r="AH140" s="75">
        <f t="shared" ref="AH140" si="174">1+LN(($C$5*((1-$C$8-AH$11)*$B140-AD$11*$C$4*$C$6)+AI140)/$C$7)-(AI140-AH$11*$C$4*$C$6*$C$5)/$C$7</f>
        <v>-1.8245518736770272E-4</v>
      </c>
      <c r="AI140" s="7">
        <f t="shared" ref="AI140" si="175">$C140-IF(AE140=0,0,(AF140/AG140)*(1-SQRT(1-2*AE140*AG140/(AF140^2))))</f>
        <v>34.701293044446579</v>
      </c>
      <c r="AJ140" s="7">
        <f t="shared" si="69"/>
        <v>35.00236101222621</v>
      </c>
      <c r="AK140" s="75">
        <f t="shared" ref="AK140" si="176">AH140</f>
        <v>-1.8245518736770272E-4</v>
      </c>
      <c r="AL140">
        <f t="shared" ref="AL140" si="177">1/AJ140-1/$C$7</f>
        <v>-5.9132572761745432E-3</v>
      </c>
      <c r="AM140">
        <f t="shared" ref="AM140" si="178">-(AJ140^(-2))</f>
        <v>-8.1621640707425075E-4</v>
      </c>
      <c r="AN140" s="75">
        <f t="shared" si="70"/>
        <v>-2.2995672033232495E-10</v>
      </c>
      <c r="AO140" s="7">
        <f t="shared" ref="AO140" si="179">AI140-IF(AK140=0,0,(AL140/AM140)*(1-SQRT(1-2*AK140*AM140/(AL140^2))))</f>
        <v>34.670371780393808</v>
      </c>
      <c r="AQ140" t="s">
        <v>174</v>
      </c>
    </row>
    <row r="141" spans="1:43" x14ac:dyDescent="0.25">
      <c r="A141" s="3"/>
      <c r="B141" s="9">
        <f>ParametersTax!$B$11</f>
        <v>6.4000000032026785</v>
      </c>
      <c r="C141" s="7">
        <f t="shared" si="59"/>
        <v>42.333333340005581</v>
      </c>
      <c r="D141" s="7">
        <f t="shared" si="53"/>
        <v>43.533333340606085</v>
      </c>
      <c r="E141">
        <f t="shared" si="54"/>
        <v>-5.3539016817797602E-2</v>
      </c>
      <c r="F141">
        <f t="shared" ref="F141" si="180">1/D141-1/$C$7</f>
        <v>-1.1511855102322006E-2</v>
      </c>
      <c r="G141">
        <f t="shared" ref="G141" si="181">-(D141^(-2))</f>
        <v>-5.2766240845015524E-4</v>
      </c>
      <c r="H141" s="75">
        <f t="shared" ref="H141" si="182">1+LN(($C$5*((1-$C$8-H$11)*$B141-D$11*$C$4*$C$6)+I141)/$C$7)-(I141-H$11*$C$4*$C$6*$C$5)/$C$7</f>
        <v>-6.5959684095040494E-4</v>
      </c>
      <c r="I141" s="7">
        <f t="shared" ref="I141" si="183">$C141-IF(E141=0,0,(F141/G141)*(1-SQRT(1-2*E141*G141/(F141^2))))</f>
        <v>37.040537154825728</v>
      </c>
      <c r="J141" s="7">
        <f t="shared" si="61"/>
        <v>38.240537155426232</v>
      </c>
      <c r="K141" s="75">
        <f t="shared" ref="K141" si="184">H141</f>
        <v>-6.5959684095040494E-4</v>
      </c>
      <c r="L141">
        <f t="shared" ref="L141" si="185">1/J141-1/$C$7</f>
        <v>-8.332498337065404E-3</v>
      </c>
      <c r="M141">
        <f t="shared" ref="M141" si="186">-(J141^(-2))</f>
        <v>-6.8383611290129579E-4</v>
      </c>
      <c r="N141" s="75">
        <f t="shared" si="65"/>
        <v>-2.9905200538138388E-9</v>
      </c>
      <c r="O141" s="7">
        <f t="shared" ref="O141" si="187">I141-IF(K141=0,0,(L141/M141)*(1-SQRT(1-2*K141*M141/(L141^2))))</f>
        <v>36.961118787597464</v>
      </c>
      <c r="Q141" s="7">
        <f t="shared" si="55"/>
        <v>43.51227565839649</v>
      </c>
      <c r="R141">
        <f t="shared" si="56"/>
        <v>-5.3738963913950055E-2</v>
      </c>
      <c r="S141">
        <f t="shared" ref="S141" si="188">1/Q141-1/$C$7</f>
        <v>-1.1500738377695729E-2</v>
      </c>
      <c r="T141">
        <f t="shared" ref="T141" si="189">-(Q141^(-2))</f>
        <v>-5.2817325444938262E-4</v>
      </c>
      <c r="U141" s="75">
        <f t="shared" ref="U141" si="190">1+LN(($C$5*((1-$C$8-U$11)*$B141-Q$11*$C$4*$C$6)+V141)/$C$7)-(V141-U$11*$C$4*$C$6*$C$5)/$C$7</f>
        <v>-6.7249854815121246E-4</v>
      </c>
      <c r="V141" s="7">
        <f t="shared" ref="V141" si="191">$C141-IF(R141=0,0,(S141/T141)*(1-SQRT(1-2*R141*T141/(S141^2))))</f>
        <v>37.009959206629134</v>
      </c>
      <c r="W141" s="7">
        <f t="shared" si="67"/>
        <v>38.188901525020043</v>
      </c>
      <c r="X141" s="75">
        <f t="shared" ref="X141" si="192">U141</f>
        <v>-6.7249854815121246E-4</v>
      </c>
      <c r="Y141">
        <f t="shared" ref="Y141" si="193">1/W141-1/$C$7</f>
        <v>-8.2971402848274756E-3</v>
      </c>
      <c r="Z141">
        <f t="shared" ref="Z141" si="194">-(W141^(-2))</f>
        <v>-6.856866076314416E-4</v>
      </c>
      <c r="AA141" s="75">
        <f t="shared" si="68"/>
        <v>-3.2243030467782319E-9</v>
      </c>
      <c r="AB141" s="7">
        <f t="shared" ref="AB141" si="195">V141-IF(X141=0,0,(Y141/Z141)*(1-SQRT(1-2*X141*Z141/(Y141^2))))</f>
        <v>36.928634073603213</v>
      </c>
      <c r="AD141" s="7">
        <f t="shared" si="57"/>
        <v>42.918095968486298</v>
      </c>
      <c r="AE141">
        <f t="shared" si="58"/>
        <v>-5.9478220747707367E-2</v>
      </c>
      <c r="AF141">
        <f t="shared" ref="AF141" si="196">1/AD141-1/$C$7</f>
        <v>-1.1182563739391208E-2</v>
      </c>
      <c r="AG141">
        <f t="shared" ref="AG141" si="197">-(AD141^(-2))</f>
        <v>-5.4289908150648635E-4</v>
      </c>
      <c r="AH141" s="75">
        <f t="shared" ref="AH141" si="198">1+LN(($C$5*((1-$C$8-AH$11)*$B141-AD$11*$C$4*$C$6)+AI141)/$C$7)-(AI141-AH$11*$C$4*$C$6*$C$5)/$C$7</f>
        <v>-1.1710126244079966E-3</v>
      </c>
      <c r="AI141" s="7">
        <f t="shared" ref="AI141" si="199">$C141-IF(AE141=0,0,(AF141/AG141)*(1-SQRT(1-2*AE141*AG141/(AF141^2))))</f>
        <v>36.058831203983445</v>
      </c>
      <c r="AJ141" s="7">
        <f t="shared" si="69"/>
        <v>36.643593832464163</v>
      </c>
      <c r="AK141" s="75">
        <f t="shared" ref="AK141" si="200">AH141</f>
        <v>-1.1710126244079966E-3</v>
      </c>
      <c r="AL141">
        <f t="shared" ref="AL141" si="201">1/AJ141-1/$C$7</f>
        <v>-7.1928589298450238E-3</v>
      </c>
      <c r="AM141">
        <f t="shared" ref="AM141" si="202">-(AJ141^(-2))</f>
        <v>-7.4473862513636194E-4</v>
      </c>
      <c r="AN141" s="75">
        <f t="shared" si="70"/>
        <v>-3.0091883207461478E-8</v>
      </c>
      <c r="AO141" s="7">
        <f t="shared" ref="AO141" si="203">AI141-IF(AK141=0,0,(AL141/AM141)*(1-SQRT(1-2*AK141*AM141/(AL141^2))))</f>
        <v>35.89463334306307</v>
      </c>
      <c r="AQ141" t="str">
        <f>"ESI worker with foregone subsidy ("&amp;TEXT(ParametersTax!$B$9,"0%")&amp;" valuation)"</f>
        <v>ESI worker with foregone subsidy (80% valuation)</v>
      </c>
    </row>
    <row r="142" spans="1:43" x14ac:dyDescent="0.25">
      <c r="AQ142" t="s">
        <v>175</v>
      </c>
    </row>
  </sheetData>
  <mergeCells count="4">
    <mergeCell ref="A11:B11"/>
    <mergeCell ref="AD10:AO10"/>
    <mergeCell ref="Q10:AB10"/>
    <mergeCell ref="D10:O10"/>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Charts</vt:lpstr>
      </vt:variant>
      <vt:variant>
        <vt:i4>3</vt:i4>
      </vt:variant>
    </vt:vector>
  </HeadingPairs>
  <TitlesOfParts>
    <vt:vector size="22" baseType="lpstr">
      <vt:lpstr>README</vt:lpstr>
      <vt:lpstr>ParametersTax</vt:lpstr>
      <vt:lpstr>ParametersOther</vt:lpstr>
      <vt:lpstr>Table1</vt:lpstr>
      <vt:lpstr>Table2</vt:lpstr>
      <vt:lpstr>AggStats</vt:lpstr>
      <vt:lpstr>FemaleStats</vt:lpstr>
      <vt:lpstr>Table7</vt:lpstr>
      <vt:lpstr>criticalhours</vt:lpstr>
      <vt:lpstr>HoursCDFs</vt:lpstr>
      <vt:lpstr>hours (1)</vt:lpstr>
      <vt:lpstr>Sectors (1)</vt:lpstr>
      <vt:lpstr>hours (2)</vt:lpstr>
      <vt:lpstr>Sectors (2)</vt:lpstr>
      <vt:lpstr>hours (3)</vt:lpstr>
      <vt:lpstr>Sectors (3)</vt:lpstr>
      <vt:lpstr>hours (4)</vt:lpstr>
      <vt:lpstr>Sectors (4)</vt:lpstr>
      <vt:lpstr>textbackup</vt:lpstr>
      <vt:lpstr>ChartCriticalh</vt:lpstr>
      <vt:lpstr>Charthourshist</vt:lpstr>
      <vt:lpstr>hrsbygroup</vt:lpstr>
    </vt:vector>
  </TitlesOfParts>
  <Company>University of Chicago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Casey Mulligan</dc:creator>
  <cp:lastModifiedBy>Casey B. Mulligan</cp:lastModifiedBy>
  <cp:lastPrinted>2014-02-25T22:52:13Z</cp:lastPrinted>
  <dcterms:created xsi:type="dcterms:W3CDTF">2013-12-26T13:02:07Z</dcterms:created>
  <dcterms:modified xsi:type="dcterms:W3CDTF">2014-03-14T14:56:46Z</dcterms:modified>
</cp:coreProperties>
</file>